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3"/>
  </bookViews>
  <sheets>
    <sheet name="SST" sheetId="1" r:id="rId1"/>
    <sheet name="Uniformity" sheetId="2" r:id="rId2"/>
    <sheet name="sulphadoxine" sheetId="3" r:id="rId3"/>
    <sheet name="pyrimethamine" sheetId="4" r:id="rId4"/>
  </sheets>
  <definedNames>
    <definedName name="_xlnm.Print_Area" localSheetId="3">pyrimethamine!$A$1:$I$124</definedName>
    <definedName name="_xlnm.Print_Area" localSheetId="2">sulphadoxine!$A$1:$I$125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42" i="1" l="1"/>
  <c r="C120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D45" i="4" s="1"/>
  <c r="B30" i="4"/>
  <c r="C120" i="3"/>
  <c r="B116" i="3"/>
  <c r="D100" i="3" s="1"/>
  <c r="B98" i="3"/>
  <c r="F95" i="3"/>
  <c r="D95" i="3"/>
  <c r="I92" i="3" s="1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D49" i="2"/>
  <c r="C46" i="2"/>
  <c r="D50" i="2" s="1"/>
  <c r="C45" i="2"/>
  <c r="D40" i="2"/>
  <c r="D36" i="2"/>
  <c r="D32" i="2"/>
  <c r="D28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39" i="3" l="1"/>
  <c r="I92" i="4"/>
  <c r="D101" i="4"/>
  <c r="G92" i="4" s="1"/>
  <c r="F98" i="4"/>
  <c r="F99" i="4" s="1"/>
  <c r="D97" i="4"/>
  <c r="D98" i="4" s="1"/>
  <c r="D99" i="4" s="1"/>
  <c r="I39" i="4"/>
  <c r="D46" i="4"/>
  <c r="D101" i="3"/>
  <c r="D102" i="3" s="1"/>
  <c r="F98" i="3"/>
  <c r="D97" i="3"/>
  <c r="F45" i="3"/>
  <c r="F46" i="3" s="1"/>
  <c r="D102" i="4"/>
  <c r="G94" i="3"/>
  <c r="D98" i="3"/>
  <c r="E94" i="3" s="1"/>
  <c r="D49" i="4"/>
  <c r="E38" i="4"/>
  <c r="E41" i="4"/>
  <c r="E39" i="4"/>
  <c r="E40" i="4"/>
  <c r="G41" i="3"/>
  <c r="D49" i="3"/>
  <c r="D26" i="2"/>
  <c r="D30" i="2"/>
  <c r="D38" i="2"/>
  <c r="B49" i="2"/>
  <c r="D44" i="3"/>
  <c r="D45" i="3" s="1"/>
  <c r="D46" i="3" s="1"/>
  <c r="D27" i="2"/>
  <c r="D31" i="2"/>
  <c r="D35" i="2"/>
  <c r="D39" i="2"/>
  <c r="D43" i="2"/>
  <c r="C49" i="2"/>
  <c r="F44" i="4"/>
  <c r="F45" i="4" s="1"/>
  <c r="F46" i="4" s="1"/>
  <c r="B57" i="3"/>
  <c r="B69" i="3" s="1"/>
  <c r="B57" i="4"/>
  <c r="B69" i="4" s="1"/>
  <c r="D33" i="2"/>
  <c r="D41" i="2"/>
  <c r="D25" i="2"/>
  <c r="D29" i="2"/>
  <c r="D37" i="2"/>
  <c r="C50" i="2"/>
  <c r="D34" i="2"/>
  <c r="D42" i="2"/>
  <c r="G38" i="3" l="1"/>
  <c r="G42" i="3" s="1"/>
  <c r="G40" i="3"/>
  <c r="G39" i="3"/>
  <c r="G94" i="4"/>
  <c r="G91" i="4"/>
  <c r="G93" i="4"/>
  <c r="G40" i="4"/>
  <c r="G41" i="4"/>
  <c r="G39" i="4"/>
  <c r="G38" i="4"/>
  <c r="G93" i="3"/>
  <c r="G91" i="3"/>
  <c r="E92" i="3"/>
  <c r="G92" i="3"/>
  <c r="F99" i="3"/>
  <c r="E91" i="4"/>
  <c r="E40" i="3"/>
  <c r="E41" i="3"/>
  <c r="E39" i="3"/>
  <c r="E38" i="3"/>
  <c r="E42" i="4"/>
  <c r="D99" i="3"/>
  <c r="E93" i="3"/>
  <c r="E91" i="3"/>
  <c r="E94" i="4"/>
  <c r="E93" i="4"/>
  <c r="E92" i="4"/>
  <c r="G95" i="4" l="1"/>
  <c r="D52" i="4"/>
  <c r="G42" i="4"/>
  <c r="D50" i="4"/>
  <c r="G69" i="4" s="1"/>
  <c r="H69" i="4" s="1"/>
  <c r="G95" i="3"/>
  <c r="D50" i="3"/>
  <c r="E42" i="3"/>
  <c r="D52" i="3"/>
  <c r="D105" i="3"/>
  <c r="D103" i="3"/>
  <c r="E95" i="3"/>
  <c r="G68" i="4"/>
  <c r="H68" i="4" s="1"/>
  <c r="E95" i="4"/>
  <c r="D105" i="4"/>
  <c r="D103" i="4"/>
  <c r="G71" i="4" l="1"/>
  <c r="H71" i="4" s="1"/>
  <c r="G70" i="4"/>
  <c r="H70" i="4" s="1"/>
  <c r="G67" i="4"/>
  <c r="H67" i="4" s="1"/>
  <c r="G62" i="4"/>
  <c r="H62" i="4" s="1"/>
  <c r="G61" i="4"/>
  <c r="H61" i="4" s="1"/>
  <c r="G64" i="4"/>
  <c r="H64" i="4" s="1"/>
  <c r="G63" i="4"/>
  <c r="H63" i="4" s="1"/>
  <c r="D51" i="4"/>
  <c r="G66" i="4"/>
  <c r="H66" i="4" s="1"/>
  <c r="G65" i="4"/>
  <c r="H65" i="4" s="1"/>
  <c r="G60" i="4"/>
  <c r="H60" i="4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E112" i="3"/>
  <c r="F112" i="3" s="1"/>
  <c r="E113" i="3"/>
  <c r="F113" i="3" s="1"/>
  <c r="E111" i="3"/>
  <c r="F111" i="3" s="1"/>
  <c r="E109" i="3"/>
  <c r="F109" i="3" s="1"/>
  <c r="D104" i="3"/>
  <c r="E110" i="3"/>
  <c r="F110" i="3" s="1"/>
  <c r="E108" i="3"/>
  <c r="G71" i="3"/>
  <c r="H71" i="3" s="1"/>
  <c r="G64" i="3"/>
  <c r="H64" i="3" s="1"/>
  <c r="G60" i="3"/>
  <c r="D51" i="3"/>
  <c r="G70" i="3"/>
  <c r="H70" i="3" s="1"/>
  <c r="G67" i="3"/>
  <c r="H67" i="3" s="1"/>
  <c r="G65" i="3"/>
  <c r="H65" i="3" s="1"/>
  <c r="G63" i="3"/>
  <c r="H63" i="3" s="1"/>
  <c r="G61" i="3"/>
  <c r="H61" i="3" s="1"/>
  <c r="G68" i="3"/>
  <c r="H68" i="3" s="1"/>
  <c r="G69" i="3"/>
  <c r="H69" i="3" s="1"/>
  <c r="G66" i="3"/>
  <c r="H66" i="3" s="1"/>
  <c r="G62" i="3"/>
  <c r="H62" i="3" s="1"/>
  <c r="G72" i="4" l="1"/>
  <c r="G73" i="4" s="1"/>
  <c r="G74" i="4"/>
  <c r="E115" i="4"/>
  <c r="E116" i="4" s="1"/>
  <c r="E117" i="4"/>
  <c r="F108" i="4"/>
  <c r="E117" i="3"/>
  <c r="F108" i="3"/>
  <c r="E115" i="3"/>
  <c r="E116" i="3" s="1"/>
  <c r="G74" i="3"/>
  <c r="G72" i="3"/>
  <c r="G73" i="3" s="1"/>
  <c r="H60" i="3"/>
  <c r="H74" i="4"/>
  <c r="H72" i="4"/>
  <c r="F117" i="3" l="1"/>
  <c r="F115" i="3"/>
  <c r="H74" i="3"/>
  <c r="H72" i="3"/>
  <c r="G76" i="4"/>
  <c r="H73" i="4"/>
  <c r="F117" i="4"/>
  <c r="F115" i="4"/>
  <c r="G120" i="4" l="1"/>
  <c r="F116" i="4"/>
  <c r="G76" i="3"/>
  <c r="H73" i="3"/>
  <c r="F116" i="3"/>
  <c r="G120" i="3"/>
</calcChain>
</file>

<file path=xl/sharedStrings.xml><?xml version="1.0" encoding="utf-8"?>
<sst xmlns="http://schemas.openxmlformats.org/spreadsheetml/2006/main" count="395" uniqueCount="131">
  <si>
    <t>HPLC System Suitability Report</t>
  </si>
  <si>
    <t>Analysis Data</t>
  </si>
  <si>
    <t>Assay</t>
  </si>
  <si>
    <t>Sample(s)</t>
  </si>
  <si>
    <t>Reference Substance:</t>
  </si>
  <si>
    <t>SINO-FANSEDER</t>
  </si>
  <si>
    <t>% age Purity:</t>
  </si>
  <si>
    <t>NDQD201508233</t>
  </si>
  <si>
    <t>Weight (mg):</t>
  </si>
  <si>
    <t xml:space="preserve">sulfadoxine &amp; Pyrimethamine </t>
  </si>
  <si>
    <t>Standard Conc (mg/mL):</t>
  </si>
  <si>
    <t>sulfadoxine USP 500mg pyrimethamine USP 25mg</t>
  </si>
  <si>
    <t>2015-09-04 09:25:56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</si>
  <si>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</si>
  <si>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</si>
  <si>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</si>
  <si>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</si>
  <si>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</si>
  <si>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</si>
  <si>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</si>
  <si>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</si>
  <si>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</si>
  <si>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</si>
  <si>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</si>
  <si>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</si>
  <si>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</si>
  <si>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</si>
  <si>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</si>
  <si>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</si>
  <si>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</si>
  <si>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</si>
  <si>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</si>
  <si>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</si>
  <si>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</si>
  <si>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</si>
  <si>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</si>
  <si>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</si>
  <si>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</si>
  <si>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</si>
  <si>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</si>
  <si>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</si>
  <si>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</si>
  <si>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</si>
  <si>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</si>
  <si>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</si>
  <si>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</si>
  <si>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</si>
  <si>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</si>
  <si>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</si>
  <si>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</si>
  <si>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</si>
  <si>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</si>
  <si>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</si>
  <si>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</si>
  <si>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</si>
  <si>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</si>
  <si>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</si>
  <si>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</si>
  <si>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</si>
  <si>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</si>
  <si>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</si>
  <si>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</si>
  <si>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</si>
  <si>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</si>
  <si>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</si>
  <si>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</si>
  <si>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</si>
  <si>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</si>
  <si>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</si>
  <si>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</si>
  <si>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</si>
  <si>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</si>
  <si>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</si>
  <si>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</si>
  <si>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</si>
  <si>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</si>
  <si>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</si>
  <si>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</si>
  <si>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</si>
  <si>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</si>
  <si>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</si>
  <si>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</si>
  <si>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</si>
  <si>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</si>
  <si>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</si>
  <si>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</si>
  <si>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</si>
  <si>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</si>
  <si>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</si>
  <si>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</si>
  <si>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</si>
  <si>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</si>
  <si>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</si>
  <si>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</si>
  <si>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</si>
  <si>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</si>
  <si>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</si>
  <si>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</si>
  <si>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</si>
  <si>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</si>
  <si>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</si>
  <si>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</si>
  <si>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</si>
  <si>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</si>
  <si>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</si>
  <si>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</si>
  <si>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</si>
  <si>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</si>
  <si>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</si>
  <si>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</si>
  <si>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</si>
  <si>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</si>
  <si>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</si>
  <si>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</si>
  <si>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</si>
  <si>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</si>
  <si>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</si>
  <si>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</si>
  <si>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</si>
  <si>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</si>
  <si>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</si>
  <si>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</si>
  <si>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</si>
  <si>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</si>
  <si>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Pyrimethamine</t>
  </si>
  <si>
    <t>NQCL-PRS-P21-1</t>
  </si>
  <si>
    <t>SULPHADOXINE</t>
  </si>
  <si>
    <t>sulphadoxine</t>
  </si>
  <si>
    <t>S18 1</t>
  </si>
  <si>
    <t>sulfadoxine</t>
  </si>
  <si>
    <t xml:space="preserve">Pyrimethamine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</si>
</sst>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0" workbookViewId="0">
      <selection activeCell="C53" sqref="C53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62" t="s">
        <v>0</v>
      </c>
      <c r="B15" s="462"/>
      <c r="C15" s="462"/>
      <c r="D15" s="462"/>
      <c r="E15" s="46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126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211079733</v>
      </c>
      <c r="C24" s="18">
        <v>10855.3</v>
      </c>
      <c r="D24" s="19">
        <v>1.05</v>
      </c>
      <c r="E24" s="20">
        <v>9.41</v>
      </c>
    </row>
    <row r="25" spans="1:6" ht="16.5" customHeight="1" x14ac:dyDescent="0.3">
      <c r="A25" s="17">
        <v>2</v>
      </c>
      <c r="B25" s="18">
        <v>211295942</v>
      </c>
      <c r="C25" s="18">
        <v>10880.1</v>
      </c>
      <c r="D25" s="19">
        <v>1.05</v>
      </c>
      <c r="E25" s="19">
        <v>9.43</v>
      </c>
    </row>
    <row r="26" spans="1:6" ht="16.5" customHeight="1" x14ac:dyDescent="0.3">
      <c r="A26" s="17">
        <v>3</v>
      </c>
      <c r="B26" s="18">
        <v>211258452</v>
      </c>
      <c r="C26" s="18">
        <v>10829.2</v>
      </c>
      <c r="D26" s="19">
        <v>1.04</v>
      </c>
      <c r="E26" s="19">
        <v>9.43</v>
      </c>
    </row>
    <row r="27" spans="1:6" ht="16.5" customHeight="1" x14ac:dyDescent="0.3">
      <c r="A27" s="17">
        <v>4</v>
      </c>
      <c r="B27" s="18">
        <v>211090359</v>
      </c>
      <c r="C27" s="18">
        <v>10845.3</v>
      </c>
      <c r="D27" s="19">
        <v>1.04</v>
      </c>
      <c r="E27" s="19">
        <v>9.42</v>
      </c>
    </row>
    <row r="28" spans="1:6" ht="16.5" customHeight="1" x14ac:dyDescent="0.3">
      <c r="A28" s="17">
        <v>5</v>
      </c>
      <c r="B28" s="18">
        <v>211532899</v>
      </c>
      <c r="C28" s="18">
        <v>10807.7</v>
      </c>
      <c r="D28" s="19">
        <v>1.06</v>
      </c>
      <c r="E28" s="19">
        <v>9.42</v>
      </c>
    </row>
    <row r="29" spans="1:6" ht="16.5" customHeight="1" x14ac:dyDescent="0.3">
      <c r="A29" s="17">
        <v>6</v>
      </c>
      <c r="B29" s="21">
        <v>211290030</v>
      </c>
      <c r="C29" s="21">
        <v>10820.1</v>
      </c>
      <c r="D29" s="22">
        <v>1.05</v>
      </c>
      <c r="E29" s="22">
        <v>9.41</v>
      </c>
    </row>
    <row r="30" spans="1:6" ht="16.5" customHeight="1" x14ac:dyDescent="0.3">
      <c r="A30" s="23" t="s">
        <v>18</v>
      </c>
      <c r="B30" s="24">
        <f>AVERAGE(B24:B29)</f>
        <v>211257902.5</v>
      </c>
      <c r="C30" s="25">
        <f>AVERAGE(C24:C29)</f>
        <v>10839.616666666667</v>
      </c>
      <c r="D30" s="26">
        <f>AVERAGE(D24:D29)</f>
        <v>1.0483333333333333</v>
      </c>
      <c r="E30" s="26">
        <f>AVERAGE(E24:E29)</f>
        <v>9.42</v>
      </c>
    </row>
    <row r="31" spans="1:6" ht="16.5" customHeight="1" x14ac:dyDescent="0.3">
      <c r="A31" s="27" t="s">
        <v>19</v>
      </c>
      <c r="B31" s="28">
        <f>(STDEV(B24:B29)/B30)</f>
        <v>7.8616212873749178E-4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/>
      <c r="B38" s="6"/>
    </row>
    <row r="39" spans="1:6" ht="16.5" customHeight="1" x14ac:dyDescent="0.3">
      <c r="A39" s="11" t="s">
        <v>4</v>
      </c>
      <c r="B39" s="8" t="s">
        <v>124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99.8</v>
      </c>
      <c r="C40" s="10"/>
      <c r="D40" s="10"/>
      <c r="E40" s="10"/>
    </row>
    <row r="41" spans="1:6" ht="16.5" customHeight="1" x14ac:dyDescent="0.3">
      <c r="A41" s="7" t="s">
        <v>8</v>
      </c>
      <c r="B41" s="12">
        <v>10.75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B41/50*5/50</f>
        <v>2.1499999999999998E-2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7253788</v>
      </c>
      <c r="C45" s="18">
        <v>4009.8</v>
      </c>
      <c r="D45" s="19">
        <v>1.72</v>
      </c>
      <c r="E45" s="20">
        <v>7.3</v>
      </c>
    </row>
    <row r="46" spans="1:6" ht="16.5" customHeight="1" x14ac:dyDescent="0.3">
      <c r="A46" s="17">
        <v>2</v>
      </c>
      <c r="B46" s="18">
        <v>7332666</v>
      </c>
      <c r="C46" s="18">
        <v>4014.8</v>
      </c>
      <c r="D46" s="19">
        <v>1.72</v>
      </c>
      <c r="E46" s="19">
        <v>7.29</v>
      </c>
    </row>
    <row r="47" spans="1:6" ht="16.5" customHeight="1" x14ac:dyDescent="0.3">
      <c r="A47" s="17">
        <v>3</v>
      </c>
      <c r="B47" s="18">
        <v>7346783</v>
      </c>
      <c r="C47" s="18">
        <v>3990.8</v>
      </c>
      <c r="D47" s="19">
        <v>1.71</v>
      </c>
      <c r="E47" s="19">
        <v>7.26</v>
      </c>
    </row>
    <row r="48" spans="1:6" ht="16.5" customHeight="1" x14ac:dyDescent="0.3">
      <c r="A48" s="17">
        <v>4</v>
      </c>
      <c r="B48" s="18">
        <v>7372877</v>
      </c>
      <c r="C48" s="18">
        <v>3995.9</v>
      </c>
      <c r="D48" s="19">
        <v>1.69</v>
      </c>
      <c r="E48" s="19">
        <v>7.23</v>
      </c>
    </row>
    <row r="49" spans="1:7" ht="16.5" customHeight="1" x14ac:dyDescent="0.3">
      <c r="A49" s="17">
        <v>5</v>
      </c>
      <c r="B49" s="18">
        <v>7391175</v>
      </c>
      <c r="C49" s="18">
        <v>3993.3</v>
      </c>
      <c r="D49" s="19">
        <v>1.69</v>
      </c>
      <c r="E49" s="19">
        <v>7.21</v>
      </c>
    </row>
    <row r="50" spans="1:7" ht="16.5" customHeight="1" x14ac:dyDescent="0.3">
      <c r="A50" s="17">
        <v>6</v>
      </c>
      <c r="B50" s="21">
        <v>7389305</v>
      </c>
      <c r="C50" s="21">
        <v>3991.9</v>
      </c>
      <c r="D50" s="22">
        <v>1.71</v>
      </c>
      <c r="E50" s="22">
        <v>7.2</v>
      </c>
    </row>
    <row r="51" spans="1:7" ht="16.5" customHeight="1" x14ac:dyDescent="0.3">
      <c r="A51" s="23" t="s">
        <v>18</v>
      </c>
      <c r="B51" s="24">
        <f>AVERAGE(B45:B50)</f>
        <v>7347765.666666667</v>
      </c>
      <c r="C51" s="25">
        <f>AVERAGE(C45:C50)</f>
        <v>3999.4166666666674</v>
      </c>
      <c r="D51" s="26">
        <f>AVERAGE(D45:D50)</f>
        <v>1.7066666666666663</v>
      </c>
      <c r="E51" s="26">
        <f>AVERAGE(E45:E50)</f>
        <v>7.248333333333334</v>
      </c>
    </row>
    <row r="52" spans="1:7" ht="16.5" customHeight="1" x14ac:dyDescent="0.3">
      <c r="A52" s="27" t="s">
        <v>19</v>
      </c>
      <c r="B52" s="28">
        <f>(STDEV(B45:B50)/B51)</f>
        <v>7.0194914479943171E-3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63" t="s">
        <v>25</v>
      </c>
      <c r="C59" s="463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67" t="s">
        <v>30</v>
      </c>
      <c r="B11" s="468"/>
      <c r="C11" s="468"/>
      <c r="D11" s="468"/>
      <c r="E11" s="468"/>
      <c r="F11" s="469"/>
      <c r="G11" s="91"/>
    </row>
    <row r="12" spans="1:7" ht="16.5" customHeight="1" x14ac:dyDescent="0.3">
      <c r="A12" s="466" t="s">
        <v>31</v>
      </c>
      <c r="B12" s="466"/>
      <c r="C12" s="466"/>
      <c r="D12" s="466"/>
      <c r="E12" s="466"/>
      <c r="F12" s="466"/>
      <c r="G12" s="90"/>
    </row>
    <row r="14" spans="1:7" ht="16.5" customHeight="1" x14ac:dyDescent="0.3">
      <c r="A14" s="471" t="s">
        <v>32</v>
      </c>
      <c r="B14" s="471"/>
      <c r="C14" s="60" t="s">
        <v>5</v>
      </c>
    </row>
    <row r="15" spans="1:7" ht="16.5" customHeight="1" x14ac:dyDescent="0.3">
      <c r="A15" s="471" t="s">
        <v>33</v>
      </c>
      <c r="B15" s="471"/>
      <c r="C15" s="60" t="s">
        <v>7</v>
      </c>
    </row>
    <row r="16" spans="1:7" ht="16.5" customHeight="1" x14ac:dyDescent="0.3">
      <c r="A16" s="471" t="s">
        <v>34</v>
      </c>
      <c r="B16" s="471"/>
      <c r="C16" s="60" t="s">
        <v>9</v>
      </c>
    </row>
    <row r="17" spans="1:5" ht="16.5" customHeight="1" x14ac:dyDescent="0.3">
      <c r="A17" s="471" t="s">
        <v>35</v>
      </c>
      <c r="B17" s="471"/>
      <c r="C17" s="60" t="s">
        <v>11</v>
      </c>
    </row>
    <row r="18" spans="1:5" ht="16.5" customHeight="1" x14ac:dyDescent="0.3">
      <c r="A18" s="471" t="s">
        <v>36</v>
      </c>
      <c r="B18" s="471"/>
      <c r="C18" s="97" t="s">
        <v>12</v>
      </c>
    </row>
    <row r="19" spans="1:5" ht="16.5" customHeight="1" x14ac:dyDescent="0.3">
      <c r="A19" s="471" t="s">
        <v>37</v>
      </c>
      <c r="B19" s="47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66" t="s">
        <v>1</v>
      </c>
      <c r="B21" s="466"/>
      <c r="C21" s="59" t="s">
        <v>38</v>
      </c>
      <c r="D21" s="66"/>
    </row>
    <row r="22" spans="1:5" ht="15.75" customHeight="1" x14ac:dyDescent="0.3">
      <c r="A22" s="470"/>
      <c r="B22" s="470"/>
      <c r="C22" s="57"/>
      <c r="D22" s="470"/>
      <c r="E22" s="470"/>
    </row>
    <row r="23" spans="1:5" ht="33.75" customHeight="1" x14ac:dyDescent="0.3">
      <c r="C23" s="86" t="s">
        <v>39</v>
      </c>
      <c r="D23" s="85" t="s">
        <v>40</v>
      </c>
      <c r="E23" s="52"/>
    </row>
    <row r="24" spans="1:5" ht="15.75" customHeight="1" x14ac:dyDescent="0.3">
      <c r="C24" s="95">
        <v>585.73</v>
      </c>
      <c r="D24" s="87">
        <f t="shared" ref="D24:D43" si="0">(C24-$C$46)/$C$46</f>
        <v>-1.5071642006884167E-2</v>
      </c>
      <c r="E24" s="53"/>
    </row>
    <row r="25" spans="1:5" ht="15.75" customHeight="1" x14ac:dyDescent="0.3">
      <c r="C25" s="95">
        <v>594.01</v>
      </c>
      <c r="D25" s="88">
        <f t="shared" si="0"/>
        <v>-1.1484917427983729E-3</v>
      </c>
      <c r="E25" s="53"/>
    </row>
    <row r="26" spans="1:5" ht="15.75" customHeight="1" x14ac:dyDescent="0.3">
      <c r="C26" s="95">
        <v>595.22</v>
      </c>
      <c r="D26" s="88">
        <f t="shared" si="0"/>
        <v>8.8617152043162385E-4</v>
      </c>
      <c r="E26" s="53"/>
    </row>
    <row r="27" spans="1:5" ht="15.75" customHeight="1" x14ac:dyDescent="0.3">
      <c r="C27" s="95">
        <v>583.66</v>
      </c>
      <c r="D27" s="88">
        <f t="shared" si="0"/>
        <v>-1.8552429572905711E-2</v>
      </c>
      <c r="E27" s="53"/>
    </row>
    <row r="28" spans="1:5" ht="15.75" customHeight="1" x14ac:dyDescent="0.3">
      <c r="C28" s="95">
        <v>601.08000000000004</v>
      </c>
      <c r="D28" s="88">
        <f t="shared" si="0"/>
        <v>1.0739995258057616E-2</v>
      </c>
      <c r="E28" s="53"/>
    </row>
    <row r="29" spans="1:5" ht="15.75" customHeight="1" x14ac:dyDescent="0.3">
      <c r="C29" s="95">
        <v>577.71</v>
      </c>
      <c r="D29" s="88">
        <f t="shared" si="0"/>
        <v>-2.8557591900358583E-2</v>
      </c>
      <c r="E29" s="53"/>
    </row>
    <row r="30" spans="1:5" ht="15.75" customHeight="1" x14ac:dyDescent="0.3">
      <c r="C30" s="95">
        <v>598.01</v>
      </c>
      <c r="D30" s="88">
        <f t="shared" si="0"/>
        <v>5.5776678050691829E-3</v>
      </c>
      <c r="E30" s="53"/>
    </row>
    <row r="31" spans="1:5" ht="15.75" customHeight="1" x14ac:dyDescent="0.3">
      <c r="C31" s="95">
        <v>596.54999999999995</v>
      </c>
      <c r="D31" s="88">
        <f t="shared" si="0"/>
        <v>3.1226195700974637E-3</v>
      </c>
      <c r="E31" s="53"/>
    </row>
    <row r="32" spans="1:5" ht="15.75" customHeight="1" x14ac:dyDescent="0.3">
      <c r="C32" s="95">
        <v>603.46</v>
      </c>
      <c r="D32" s="88">
        <f t="shared" si="0"/>
        <v>1.4742060189038803E-2</v>
      </c>
      <c r="E32" s="53"/>
    </row>
    <row r="33" spans="1:7" ht="15.75" customHeight="1" x14ac:dyDescent="0.3">
      <c r="C33" s="95">
        <v>585.75</v>
      </c>
      <c r="D33" s="88">
        <f t="shared" si="0"/>
        <v>-1.503801120914486E-2</v>
      </c>
      <c r="E33" s="53"/>
    </row>
    <row r="34" spans="1:7" ht="15.75" customHeight="1" x14ac:dyDescent="0.3">
      <c r="C34" s="95">
        <v>593.52</v>
      </c>
      <c r="D34" s="88">
        <f t="shared" si="0"/>
        <v>-1.9724462874121636E-3</v>
      </c>
      <c r="E34" s="53"/>
    </row>
    <row r="35" spans="1:7" ht="15.75" customHeight="1" x14ac:dyDescent="0.3">
      <c r="C35" s="95">
        <v>599.61</v>
      </c>
      <c r="D35" s="88">
        <f t="shared" si="0"/>
        <v>8.2681316242162427E-3</v>
      </c>
      <c r="E35" s="53"/>
    </row>
    <row r="36" spans="1:7" ht="15.75" customHeight="1" x14ac:dyDescent="0.3">
      <c r="C36" s="95">
        <v>593.42999999999995</v>
      </c>
      <c r="D36" s="88">
        <f t="shared" si="0"/>
        <v>-2.1237848772392371E-3</v>
      </c>
      <c r="E36" s="53"/>
    </row>
    <row r="37" spans="1:7" ht="15.75" customHeight="1" x14ac:dyDescent="0.3">
      <c r="C37" s="95">
        <v>615</v>
      </c>
      <c r="D37" s="88">
        <f t="shared" si="0"/>
        <v>3.4147030484636638E-2</v>
      </c>
      <c r="E37" s="53"/>
    </row>
    <row r="38" spans="1:7" ht="15.75" customHeight="1" x14ac:dyDescent="0.3">
      <c r="C38" s="95">
        <v>595.82000000000005</v>
      </c>
      <c r="D38" s="88">
        <f t="shared" si="0"/>
        <v>1.8950954526117953E-3</v>
      </c>
      <c r="E38" s="53"/>
    </row>
    <row r="39" spans="1:7" ht="15.75" customHeight="1" x14ac:dyDescent="0.3">
      <c r="C39" s="95">
        <v>584.84</v>
      </c>
      <c r="D39" s="88">
        <f t="shared" si="0"/>
        <v>-1.6568212506284676E-2</v>
      </c>
      <c r="E39" s="53"/>
    </row>
    <row r="40" spans="1:7" ht="15.75" customHeight="1" x14ac:dyDescent="0.3">
      <c r="C40" s="95">
        <v>607.79999999999995</v>
      </c>
      <c r="D40" s="88">
        <f t="shared" si="0"/>
        <v>2.2039943298474963E-2</v>
      </c>
      <c r="E40" s="53"/>
    </row>
    <row r="41" spans="1:7" ht="15.75" customHeight="1" x14ac:dyDescent="0.3">
      <c r="C41" s="95">
        <v>588.14</v>
      </c>
      <c r="D41" s="88">
        <f t="shared" si="0"/>
        <v>-1.1019130879294018E-2</v>
      </c>
      <c r="E41" s="53"/>
    </row>
    <row r="42" spans="1:7" ht="15.75" customHeight="1" x14ac:dyDescent="0.3">
      <c r="C42" s="95">
        <v>597.66</v>
      </c>
      <c r="D42" s="88">
        <f t="shared" si="0"/>
        <v>4.9891288446307332E-3</v>
      </c>
      <c r="E42" s="53"/>
    </row>
    <row r="43" spans="1:7" ht="16.5" customHeight="1" x14ac:dyDescent="0.3">
      <c r="C43" s="96">
        <v>596.86</v>
      </c>
      <c r="D43" s="89">
        <f t="shared" si="0"/>
        <v>3.6438969350572987E-3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41</v>
      </c>
      <c r="C45" s="83">
        <f>SUM(C24:C44)</f>
        <v>11893.86</v>
      </c>
      <c r="D45" s="78"/>
      <c r="E45" s="54"/>
    </row>
    <row r="46" spans="1:7" ht="17.25" customHeight="1" x14ac:dyDescent="0.3">
      <c r="B46" s="82" t="s">
        <v>42</v>
      </c>
      <c r="C46" s="84">
        <f>AVERAGE(C24:C44)</f>
        <v>594.69299999999998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42</v>
      </c>
      <c r="C48" s="85" t="s">
        <v>43</v>
      </c>
      <c r="D48" s="80"/>
      <c r="G48" s="58"/>
    </row>
    <row r="49" spans="1:6" ht="17.25" customHeight="1" x14ac:dyDescent="0.3">
      <c r="B49" s="464">
        <f>C46</f>
        <v>594.69299999999998</v>
      </c>
      <c r="C49" s="93">
        <f>-IF(C46&lt;=80,10%,IF(C46&lt;250,7.5%,5%))</f>
        <v>-0.05</v>
      </c>
      <c r="D49" s="81">
        <f>IF(C46&lt;=80,C46*0.9,IF(C46&lt;250,C46*0.925,C46*0.95))</f>
        <v>564.95835</v>
      </c>
    </row>
    <row r="50" spans="1:6" ht="17.25" customHeight="1" x14ac:dyDescent="0.3">
      <c r="B50" s="465"/>
      <c r="C50" s="94">
        <f>IF(C46&lt;=80, 10%, IF(C46&lt;250, 7.5%, 5%))</f>
        <v>0.05</v>
      </c>
      <c r="D50" s="81">
        <f>IF(C46&lt;=80, C46*1.1, IF(C46&lt;250, C46*1.075, C46*1.05))</f>
        <v>624.42764999999997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 x14ac:dyDescent="0.3">
      <c r="A53" s="70" t="s">
        <v>28</v>
      </c>
      <c r="B53" s="71"/>
      <c r="C53" s="72"/>
      <c r="D53" s="71"/>
      <c r="E53" s="61"/>
      <c r="F53" s="73"/>
    </row>
    <row r="54" spans="1:6" ht="34.5" customHeight="1" x14ac:dyDescent="0.3">
      <c r="A54" s="70" t="s">
        <v>29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5" zoomScaleNormal="40" zoomScalePageLayoutView="55" workbookViewId="0">
      <selection sqref="A1:I12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0" t="s">
        <v>44</v>
      </c>
      <c r="B1" s="500"/>
      <c r="C1" s="500"/>
      <c r="D1" s="500"/>
      <c r="E1" s="500"/>
      <c r="F1" s="500"/>
      <c r="G1" s="500"/>
      <c r="H1" s="500"/>
      <c r="I1" s="500"/>
    </row>
    <row r="2" spans="1:9" ht="18.75" customHeight="1" x14ac:dyDescent="0.25">
      <c r="A2" s="500"/>
      <c r="B2" s="500"/>
      <c r="C2" s="500"/>
      <c r="D2" s="500"/>
      <c r="E2" s="500"/>
      <c r="F2" s="500"/>
      <c r="G2" s="500"/>
      <c r="H2" s="500"/>
      <c r="I2" s="500"/>
    </row>
    <row r="3" spans="1:9" ht="18.75" customHeight="1" x14ac:dyDescent="0.25">
      <c r="A3" s="500"/>
      <c r="B3" s="500"/>
      <c r="C3" s="500"/>
      <c r="D3" s="500"/>
      <c r="E3" s="500"/>
      <c r="F3" s="500"/>
      <c r="G3" s="500"/>
      <c r="H3" s="500"/>
      <c r="I3" s="500"/>
    </row>
    <row r="4" spans="1:9" ht="18.75" customHeight="1" x14ac:dyDescent="0.25">
      <c r="A4" s="500"/>
      <c r="B4" s="500"/>
      <c r="C4" s="500"/>
      <c r="D4" s="500"/>
      <c r="E4" s="500"/>
      <c r="F4" s="500"/>
      <c r="G4" s="500"/>
      <c r="H4" s="500"/>
      <c r="I4" s="500"/>
    </row>
    <row r="5" spans="1:9" ht="18.75" customHeight="1" x14ac:dyDescent="0.25">
      <c r="A5" s="500"/>
      <c r="B5" s="500"/>
      <c r="C5" s="500"/>
      <c r="D5" s="500"/>
      <c r="E5" s="500"/>
      <c r="F5" s="500"/>
      <c r="G5" s="500"/>
      <c r="H5" s="500"/>
      <c r="I5" s="500"/>
    </row>
    <row r="6" spans="1:9" ht="18.75" customHeight="1" x14ac:dyDescent="0.25">
      <c r="A6" s="500"/>
      <c r="B6" s="500"/>
      <c r="C6" s="500"/>
      <c r="D6" s="500"/>
      <c r="E6" s="500"/>
      <c r="F6" s="500"/>
      <c r="G6" s="500"/>
      <c r="H6" s="500"/>
      <c r="I6" s="500"/>
    </row>
    <row r="7" spans="1:9" ht="18.75" customHeight="1" x14ac:dyDescent="0.25">
      <c r="A7" s="500"/>
      <c r="B7" s="500"/>
      <c r="C7" s="500"/>
      <c r="D7" s="500"/>
      <c r="E7" s="500"/>
      <c r="F7" s="500"/>
      <c r="G7" s="500"/>
      <c r="H7" s="500"/>
      <c r="I7" s="500"/>
    </row>
    <row r="8" spans="1:9" x14ac:dyDescent="0.25">
      <c r="A8" s="501" t="s">
        <v>45</v>
      </c>
      <c r="B8" s="501"/>
      <c r="C8" s="501"/>
      <c r="D8" s="501"/>
      <c r="E8" s="501"/>
      <c r="F8" s="501"/>
      <c r="G8" s="501"/>
      <c r="H8" s="501"/>
      <c r="I8" s="501"/>
    </row>
    <row r="9" spans="1:9" x14ac:dyDescent="0.25">
      <c r="A9" s="501"/>
      <c r="B9" s="501"/>
      <c r="C9" s="501"/>
      <c r="D9" s="501"/>
      <c r="E9" s="501"/>
      <c r="F9" s="501"/>
      <c r="G9" s="501"/>
      <c r="H9" s="501"/>
      <c r="I9" s="501"/>
    </row>
    <row r="10" spans="1:9" x14ac:dyDescent="0.25">
      <c r="A10" s="501"/>
      <c r="B10" s="501"/>
      <c r="C10" s="501"/>
      <c r="D10" s="501"/>
      <c r="E10" s="501"/>
      <c r="F10" s="501"/>
      <c r="G10" s="501"/>
      <c r="H10" s="501"/>
      <c r="I10" s="501"/>
    </row>
    <row r="11" spans="1:9" x14ac:dyDescent="0.25">
      <c r="A11" s="501"/>
      <c r="B11" s="501"/>
      <c r="C11" s="501"/>
      <c r="D11" s="501"/>
      <c r="E11" s="501"/>
      <c r="F11" s="501"/>
      <c r="G11" s="501"/>
      <c r="H11" s="501"/>
      <c r="I11" s="501"/>
    </row>
    <row r="12" spans="1:9" x14ac:dyDescent="0.25">
      <c r="A12" s="501"/>
      <c r="B12" s="501"/>
      <c r="C12" s="501"/>
      <c r="D12" s="501"/>
      <c r="E12" s="501"/>
      <c r="F12" s="501"/>
      <c r="G12" s="501"/>
      <c r="H12" s="501"/>
      <c r="I12" s="501"/>
    </row>
    <row r="13" spans="1:9" x14ac:dyDescent="0.25">
      <c r="A13" s="501"/>
      <c r="B13" s="501"/>
      <c r="C13" s="501"/>
      <c r="D13" s="501"/>
      <c r="E13" s="501"/>
      <c r="F13" s="501"/>
      <c r="G13" s="501"/>
      <c r="H13" s="501"/>
      <c r="I13" s="501"/>
    </row>
    <row r="14" spans="1:9" x14ac:dyDescent="0.25">
      <c r="A14" s="501"/>
      <c r="B14" s="501"/>
      <c r="C14" s="501"/>
      <c r="D14" s="501"/>
      <c r="E14" s="501"/>
      <c r="F14" s="501"/>
      <c r="G14" s="501"/>
      <c r="H14" s="501"/>
      <c r="I14" s="501"/>
    </row>
    <row r="15" spans="1:9" ht="19.5" customHeight="1" x14ac:dyDescent="0.3">
      <c r="A15" s="98"/>
    </row>
    <row r="16" spans="1:9" ht="19.5" customHeight="1" x14ac:dyDescent="0.3">
      <c r="A16" s="473" t="s">
        <v>30</v>
      </c>
      <c r="B16" s="474"/>
      <c r="C16" s="474"/>
      <c r="D16" s="474"/>
      <c r="E16" s="474"/>
      <c r="F16" s="474"/>
      <c r="G16" s="474"/>
      <c r="H16" s="475"/>
    </row>
    <row r="17" spans="1:14" ht="20.25" customHeight="1" x14ac:dyDescent="0.25">
      <c r="A17" s="476" t="s">
        <v>46</v>
      </c>
      <c r="B17" s="476"/>
      <c r="C17" s="476"/>
      <c r="D17" s="476"/>
      <c r="E17" s="476"/>
      <c r="F17" s="476"/>
      <c r="G17" s="476"/>
      <c r="H17" s="476"/>
    </row>
    <row r="18" spans="1:14" ht="26.25" customHeight="1" x14ac:dyDescent="0.4">
      <c r="A18" s="100" t="s">
        <v>32</v>
      </c>
      <c r="B18" s="472" t="s">
        <v>5</v>
      </c>
      <c r="C18" s="472"/>
      <c r="D18" s="266"/>
      <c r="E18" s="101"/>
      <c r="F18" s="102"/>
      <c r="G18" s="102"/>
      <c r="H18" s="102"/>
    </row>
    <row r="19" spans="1:14" ht="26.25" customHeight="1" x14ac:dyDescent="0.4">
      <c r="A19" s="100" t="s">
        <v>33</v>
      </c>
      <c r="B19" s="103" t="s">
        <v>7</v>
      </c>
      <c r="C19" s="279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34</v>
      </c>
      <c r="B20" s="477" t="s">
        <v>129</v>
      </c>
      <c r="C20" s="477"/>
      <c r="D20" s="102"/>
      <c r="E20" s="102"/>
      <c r="F20" s="102"/>
      <c r="G20" s="102"/>
      <c r="H20" s="102"/>
    </row>
    <row r="21" spans="1:14" ht="26.25" customHeight="1" x14ac:dyDescent="0.4">
      <c r="A21" s="100" t="s">
        <v>35</v>
      </c>
      <c r="B21" s="477" t="s">
        <v>11</v>
      </c>
      <c r="C21" s="477"/>
      <c r="D21" s="477"/>
      <c r="E21" s="477"/>
      <c r="F21" s="477"/>
      <c r="G21" s="477"/>
      <c r="H21" s="477"/>
      <c r="I21" s="104"/>
    </row>
    <row r="22" spans="1:14" ht="26.25" customHeight="1" x14ac:dyDescent="0.4">
      <c r="A22" s="100" t="s">
        <v>36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37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472" t="s">
        <v>127</v>
      </c>
      <c r="C26" s="472"/>
    </row>
    <row r="27" spans="1:14" ht="26.25" customHeight="1" x14ac:dyDescent="0.4">
      <c r="A27" s="109" t="s">
        <v>47</v>
      </c>
      <c r="B27" s="478" t="s">
        <v>128</v>
      </c>
      <c r="C27" s="478"/>
    </row>
    <row r="28" spans="1:14" ht="27" customHeight="1" x14ac:dyDescent="0.4">
      <c r="A28" s="109" t="s">
        <v>6</v>
      </c>
      <c r="B28" s="110">
        <v>99.9</v>
      </c>
    </row>
    <row r="29" spans="1:14" s="14" customFormat="1" ht="27" customHeight="1" x14ac:dyDescent="0.4">
      <c r="A29" s="109" t="s">
        <v>48</v>
      </c>
      <c r="B29" s="111">
        <v>0</v>
      </c>
      <c r="C29" s="479" t="s">
        <v>49</v>
      </c>
      <c r="D29" s="480"/>
      <c r="E29" s="480"/>
      <c r="F29" s="480"/>
      <c r="G29" s="481"/>
      <c r="I29" s="112"/>
      <c r="J29" s="112"/>
      <c r="K29" s="112"/>
      <c r="L29" s="112"/>
    </row>
    <row r="30" spans="1:14" s="14" customFormat="1" ht="19.5" customHeight="1" x14ac:dyDescent="0.3">
      <c r="A30" s="109" t="s">
        <v>50</v>
      </c>
      <c r="B30" s="113">
        <f>B28-B29</f>
        <v>99.9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51</v>
      </c>
      <c r="B31" s="116">
        <v>1</v>
      </c>
      <c r="C31" s="482" t="s">
        <v>52</v>
      </c>
      <c r="D31" s="483"/>
      <c r="E31" s="483"/>
      <c r="F31" s="483"/>
      <c r="G31" s="483"/>
      <c r="H31" s="484"/>
      <c r="I31" s="112"/>
      <c r="J31" s="112"/>
      <c r="K31" s="112"/>
      <c r="L31" s="112"/>
    </row>
    <row r="32" spans="1:14" s="14" customFormat="1" ht="27" customHeight="1" x14ac:dyDescent="0.4">
      <c r="A32" s="109" t="s">
        <v>53</v>
      </c>
      <c r="B32" s="116">
        <v>1</v>
      </c>
      <c r="C32" s="482" t="s">
        <v>54</v>
      </c>
      <c r="D32" s="483"/>
      <c r="E32" s="483"/>
      <c r="F32" s="483"/>
      <c r="G32" s="483"/>
      <c r="H32" s="484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55</v>
      </c>
      <c r="B34" s="121">
        <f>B31/B32</f>
        <v>1</v>
      </c>
      <c r="C34" s="99" t="s">
        <v>56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57</v>
      </c>
      <c r="B36" s="123">
        <v>50</v>
      </c>
      <c r="C36" s="99"/>
      <c r="D36" s="485" t="s">
        <v>58</v>
      </c>
      <c r="E36" s="486"/>
      <c r="F36" s="485" t="s">
        <v>59</v>
      </c>
      <c r="G36" s="487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60</v>
      </c>
      <c r="B37" s="125">
        <v>1</v>
      </c>
      <c r="C37" s="126" t="s">
        <v>61</v>
      </c>
      <c r="D37" s="127" t="s">
        <v>62</v>
      </c>
      <c r="E37" s="128" t="s">
        <v>63</v>
      </c>
      <c r="F37" s="127" t="s">
        <v>62</v>
      </c>
      <c r="G37" s="129" t="s">
        <v>63</v>
      </c>
      <c r="I37" s="130" t="s">
        <v>64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65</v>
      </c>
      <c r="B38" s="125">
        <v>1</v>
      </c>
      <c r="C38" s="131">
        <v>1</v>
      </c>
      <c r="D38" s="314">
        <v>209363826</v>
      </c>
      <c r="E38" s="132">
        <f>IF(ISBLANK(D38),"-",$D$48/$D$45*D38)</f>
        <v>218191982.71670941</v>
      </c>
      <c r="F38" s="314">
        <v>223746692</v>
      </c>
      <c r="G38" s="133">
        <f>IF(ISBLANK(F38),"-",$D$48/$F$45*F38)</f>
        <v>213203867.36093539</v>
      </c>
      <c r="I38" s="134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66</v>
      </c>
      <c r="B39" s="125">
        <v>1</v>
      </c>
      <c r="C39" s="135">
        <v>2</v>
      </c>
      <c r="D39" s="319">
        <v>211444489</v>
      </c>
      <c r="E39" s="137">
        <f>IF(ISBLANK(D39),"-",$D$48/$D$45*D39)</f>
        <v>220360380.16152537</v>
      </c>
      <c r="F39" s="319">
        <v>224485189</v>
      </c>
      <c r="G39" s="138">
        <f>IF(ISBLANK(F39),"-",$D$48/$F$45*F39)</f>
        <v>213907566.77667668</v>
      </c>
      <c r="I39" s="489">
        <f>ABS((F43/D43*D42)-F42)/D42</f>
        <v>2.7992994544565296E-2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67</v>
      </c>
      <c r="B40" s="125">
        <v>1</v>
      </c>
      <c r="C40" s="135">
        <v>3</v>
      </c>
      <c r="D40" s="319">
        <v>210562279</v>
      </c>
      <c r="E40" s="137">
        <f>IF(ISBLANK(D40),"-",$D$48/$D$45*D40)</f>
        <v>219440970.38214684</v>
      </c>
      <c r="F40" s="319">
        <v>224624940</v>
      </c>
      <c r="G40" s="138">
        <f>IF(ISBLANK(F40),"-",$D$48/$F$45*F40)</f>
        <v>214040732.78418824</v>
      </c>
      <c r="I40" s="489"/>
      <c r="L40" s="117"/>
      <c r="M40" s="117"/>
      <c r="N40" s="139"/>
    </row>
    <row r="41" spans="1:14" ht="27" customHeight="1" x14ac:dyDescent="0.4">
      <c r="A41" s="124" t="s">
        <v>68</v>
      </c>
      <c r="B41" s="125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7"/>
      <c r="M41" s="117"/>
      <c r="N41" s="139"/>
    </row>
    <row r="42" spans="1:14" ht="27" customHeight="1" x14ac:dyDescent="0.4">
      <c r="A42" s="124" t="s">
        <v>69</v>
      </c>
      <c r="B42" s="125">
        <v>1</v>
      </c>
      <c r="C42" s="145" t="s">
        <v>70</v>
      </c>
      <c r="D42" s="146">
        <f>AVERAGE(D38:D41)</f>
        <v>210456864.66666666</v>
      </c>
      <c r="E42" s="147">
        <f>AVERAGE(E38:E41)</f>
        <v>219331111.08679387</v>
      </c>
      <c r="F42" s="146">
        <f>AVERAGE(F38:F41)</f>
        <v>224285607</v>
      </c>
      <c r="G42" s="148">
        <f>AVERAGE(G38:G41)</f>
        <v>213717388.97393346</v>
      </c>
      <c r="H42" s="149"/>
    </row>
    <row r="43" spans="1:14" ht="26.25" customHeight="1" x14ac:dyDescent="0.4">
      <c r="A43" s="124" t="s">
        <v>71</v>
      </c>
      <c r="B43" s="125">
        <v>1</v>
      </c>
      <c r="C43" s="150" t="s">
        <v>72</v>
      </c>
      <c r="D43" s="151">
        <v>19.21</v>
      </c>
      <c r="E43" s="139"/>
      <c r="F43" s="151">
        <v>21.01</v>
      </c>
      <c r="H43" s="149"/>
    </row>
    <row r="44" spans="1:14" ht="26.25" customHeight="1" x14ac:dyDescent="0.4">
      <c r="A44" s="124" t="s">
        <v>73</v>
      </c>
      <c r="B44" s="125">
        <v>1</v>
      </c>
      <c r="C44" s="152" t="s">
        <v>74</v>
      </c>
      <c r="D44" s="153">
        <f>D43*$B$34</f>
        <v>19.21</v>
      </c>
      <c r="E44" s="154"/>
      <c r="F44" s="153">
        <f>F43*$B$34</f>
        <v>21.01</v>
      </c>
      <c r="H44" s="149"/>
    </row>
    <row r="45" spans="1:14" ht="19.5" customHeight="1" x14ac:dyDescent="0.3">
      <c r="A45" s="124" t="s">
        <v>75</v>
      </c>
      <c r="B45" s="155">
        <f>(B44/B43)*(B42/B41)*(B40/B39)*(B38/B37)*B36</f>
        <v>50</v>
      </c>
      <c r="C45" s="152" t="s">
        <v>76</v>
      </c>
      <c r="D45" s="156">
        <f>D44*$B$30/100</f>
        <v>19.190790000000003</v>
      </c>
      <c r="E45" s="157"/>
      <c r="F45" s="156">
        <f>F44*$B$30/100</f>
        <v>20.988990000000005</v>
      </c>
      <c r="H45" s="149"/>
    </row>
    <row r="46" spans="1:14" ht="19.5" customHeight="1" x14ac:dyDescent="0.3">
      <c r="A46" s="490" t="s">
        <v>77</v>
      </c>
      <c r="B46" s="491"/>
      <c r="C46" s="152" t="s">
        <v>78</v>
      </c>
      <c r="D46" s="158">
        <f>D45/$B$45</f>
        <v>0.38381580000000004</v>
      </c>
      <c r="E46" s="159"/>
      <c r="F46" s="160">
        <f>F45/$B$45</f>
        <v>0.41977980000000009</v>
      </c>
      <c r="H46" s="149"/>
    </row>
    <row r="47" spans="1:14" ht="27" customHeight="1" x14ac:dyDescent="0.4">
      <c r="A47" s="492"/>
      <c r="B47" s="493"/>
      <c r="C47" s="161" t="s">
        <v>79</v>
      </c>
      <c r="D47" s="162">
        <v>0.4</v>
      </c>
      <c r="E47" s="163"/>
      <c r="F47" s="159"/>
      <c r="H47" s="149"/>
    </row>
    <row r="48" spans="1:14" ht="18.75" x14ac:dyDescent="0.3">
      <c r="C48" s="164" t="s">
        <v>80</v>
      </c>
      <c r="D48" s="156">
        <f>D47*$B$45</f>
        <v>20</v>
      </c>
      <c r="F48" s="165"/>
      <c r="H48" s="149"/>
    </row>
    <row r="49" spans="1:12" ht="19.5" customHeight="1" x14ac:dyDescent="0.3">
      <c r="C49" s="166" t="s">
        <v>81</v>
      </c>
      <c r="D49" s="167">
        <f>D48/B34</f>
        <v>20</v>
      </c>
      <c r="F49" s="165"/>
      <c r="H49" s="149"/>
    </row>
    <row r="50" spans="1:12" ht="18.75" x14ac:dyDescent="0.3">
      <c r="C50" s="122" t="s">
        <v>82</v>
      </c>
      <c r="D50" s="168">
        <f>AVERAGE(E38:E41,G38:G41)</f>
        <v>216524250.03036365</v>
      </c>
      <c r="F50" s="169"/>
      <c r="H50" s="149"/>
    </row>
    <row r="51" spans="1:12" ht="18.75" x14ac:dyDescent="0.3">
      <c r="C51" s="124" t="s">
        <v>83</v>
      </c>
      <c r="D51" s="170">
        <f>STDEV(E38:E41,G38:G41)/D50</f>
        <v>1.4611198044440719E-2</v>
      </c>
      <c r="F51" s="169"/>
      <c r="H51" s="149"/>
    </row>
    <row r="52" spans="1:12" ht="19.5" customHeight="1" x14ac:dyDescent="0.3">
      <c r="C52" s="171" t="s">
        <v>20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84</v>
      </c>
    </row>
    <row r="55" spans="1:12" ht="18.75" x14ac:dyDescent="0.3">
      <c r="A55" s="99" t="s">
        <v>85</v>
      </c>
      <c r="B55" s="175" t="str">
        <f>B21</f>
        <v>sulfadoxine USP 500mg pyrimethamine USP 25mg</v>
      </c>
    </row>
    <row r="56" spans="1:12" ht="26.25" customHeight="1" x14ac:dyDescent="0.4">
      <c r="A56" s="176" t="s">
        <v>86</v>
      </c>
      <c r="B56" s="177">
        <v>500</v>
      </c>
      <c r="C56" s="99" t="str">
        <f>B20</f>
        <v>sulfadoxine</v>
      </c>
      <c r="H56" s="178"/>
    </row>
    <row r="57" spans="1:12" ht="18.75" x14ac:dyDescent="0.3">
      <c r="A57" s="175" t="s">
        <v>87</v>
      </c>
      <c r="B57" s="267">
        <f>Uniformity!C46</f>
        <v>594.69299999999998</v>
      </c>
      <c r="H57" s="178"/>
    </row>
    <row r="58" spans="1:12" ht="19.5" customHeight="1" x14ac:dyDescent="0.3">
      <c r="H58" s="178"/>
    </row>
    <row r="59" spans="1:12" s="14" customFormat="1" ht="27" customHeight="1" x14ac:dyDescent="0.4">
      <c r="A59" s="122" t="s">
        <v>88</v>
      </c>
      <c r="B59" s="123">
        <v>100</v>
      </c>
      <c r="C59" s="99"/>
      <c r="D59" s="179" t="s">
        <v>89</v>
      </c>
      <c r="E59" s="180" t="s">
        <v>61</v>
      </c>
      <c r="F59" s="180" t="s">
        <v>62</v>
      </c>
      <c r="G59" s="180" t="s">
        <v>90</v>
      </c>
      <c r="H59" s="126" t="s">
        <v>91</v>
      </c>
      <c r="L59" s="112"/>
    </row>
    <row r="60" spans="1:12" s="14" customFormat="1" ht="26.25" customHeight="1" x14ac:dyDescent="0.4">
      <c r="A60" s="124" t="s">
        <v>92</v>
      </c>
      <c r="B60" s="125">
        <v>4</v>
      </c>
      <c r="C60" s="494" t="s">
        <v>93</v>
      </c>
      <c r="D60" s="497">
        <v>562.91999999999996</v>
      </c>
      <c r="E60" s="181">
        <v>1</v>
      </c>
      <c r="F60" s="182">
        <v>184615014</v>
      </c>
      <c r="G60" s="268">
        <f>IF(ISBLANK(F60),"-",(F60/$D$50*$D$47*$B$68)*($B$57/$D$60))</f>
        <v>450.37743836053204</v>
      </c>
      <c r="H60" s="183">
        <f t="shared" ref="H60:H71" si="0">IF(ISBLANK(F60),"-",G60/$B$56)</f>
        <v>0.90075487672106402</v>
      </c>
      <c r="L60" s="112"/>
    </row>
    <row r="61" spans="1:12" s="14" customFormat="1" ht="26.25" customHeight="1" x14ac:dyDescent="0.4">
      <c r="A61" s="124" t="s">
        <v>94</v>
      </c>
      <c r="B61" s="125">
        <v>50</v>
      </c>
      <c r="C61" s="495"/>
      <c r="D61" s="498"/>
      <c r="E61" s="184">
        <v>2</v>
      </c>
      <c r="F61" s="136">
        <v>185842458</v>
      </c>
      <c r="G61" s="269">
        <f>IF(ISBLANK(F61),"-",(F61/$D$50*$D$47*$B$68)*($B$57/$D$60))</f>
        <v>453.37184857925354</v>
      </c>
      <c r="H61" s="185">
        <f t="shared" si="0"/>
        <v>0.90674369715850711</v>
      </c>
      <c r="L61" s="112"/>
    </row>
    <row r="62" spans="1:12" s="14" customFormat="1" ht="26.25" customHeight="1" x14ac:dyDescent="0.4">
      <c r="A62" s="124" t="s">
        <v>95</v>
      </c>
      <c r="B62" s="125">
        <v>1</v>
      </c>
      <c r="C62" s="495"/>
      <c r="D62" s="498"/>
      <c r="E62" s="184">
        <v>3</v>
      </c>
      <c r="F62" s="186"/>
      <c r="G62" s="269" t="str">
        <f>IF(ISBLANK(F62),"-",(F62/$D$50*$D$47*$B$68)*($B$57/$D$60))</f>
        <v>-</v>
      </c>
      <c r="H62" s="185" t="str">
        <f t="shared" si="0"/>
        <v>-</v>
      </c>
      <c r="L62" s="112"/>
    </row>
    <row r="63" spans="1:12" ht="27" customHeight="1" x14ac:dyDescent="0.4">
      <c r="A63" s="124" t="s">
        <v>96</v>
      </c>
      <c r="B63" s="125">
        <v>1</v>
      </c>
      <c r="C63" s="496"/>
      <c r="D63" s="499"/>
      <c r="E63" s="187">
        <v>4</v>
      </c>
      <c r="F63" s="188"/>
      <c r="G63" s="269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4" t="s">
        <v>97</v>
      </c>
      <c r="B64" s="125">
        <v>1</v>
      </c>
      <c r="C64" s="494" t="s">
        <v>98</v>
      </c>
      <c r="D64" s="497">
        <v>575.04</v>
      </c>
      <c r="E64" s="181">
        <v>1</v>
      </c>
      <c r="F64" s="182">
        <v>187293002</v>
      </c>
      <c r="G64" s="270">
        <f>IF(ISBLANK(F64),"-",(F64/$D$50*$D$47*$B$68)*($B$57/$D$64))</f>
        <v>447.28031300448941</v>
      </c>
      <c r="H64" s="189">
        <f t="shared" si="0"/>
        <v>0.89456062600897879</v>
      </c>
    </row>
    <row r="65" spans="1:8" ht="26.25" customHeight="1" x14ac:dyDescent="0.4">
      <c r="A65" s="124" t="s">
        <v>99</v>
      </c>
      <c r="B65" s="125">
        <v>1</v>
      </c>
      <c r="C65" s="495"/>
      <c r="D65" s="498"/>
      <c r="E65" s="184">
        <v>2</v>
      </c>
      <c r="F65" s="136">
        <v>195618322</v>
      </c>
      <c r="G65" s="271">
        <f>IF(ISBLANK(F65),"-",(F65/$D$50*$D$47*$B$68)*($B$57/$D$64))</f>
        <v>467.16227173064908</v>
      </c>
      <c r="H65" s="190">
        <f t="shared" si="0"/>
        <v>0.93432454346129812</v>
      </c>
    </row>
    <row r="66" spans="1:8" ht="26.25" customHeight="1" x14ac:dyDescent="0.4">
      <c r="A66" s="124" t="s">
        <v>100</v>
      </c>
      <c r="B66" s="125">
        <v>1</v>
      </c>
      <c r="C66" s="495"/>
      <c r="D66" s="498"/>
      <c r="E66" s="184">
        <v>3</v>
      </c>
      <c r="F66" s="136">
        <v>192565734</v>
      </c>
      <c r="G66" s="271">
        <f>IF(ISBLANK(F66),"-",(F66/$D$50*$D$47*$B$68)*($B$57/$D$64))</f>
        <v>459.87229024958043</v>
      </c>
      <c r="H66" s="190">
        <f t="shared" si="0"/>
        <v>0.91974458049916086</v>
      </c>
    </row>
    <row r="67" spans="1:8" ht="27" customHeight="1" x14ac:dyDescent="0.4">
      <c r="A67" s="124" t="s">
        <v>101</v>
      </c>
      <c r="B67" s="125">
        <v>1</v>
      </c>
      <c r="C67" s="496"/>
      <c r="D67" s="499"/>
      <c r="E67" s="187">
        <v>4</v>
      </c>
      <c r="F67" s="188"/>
      <c r="G67" s="272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4" t="s">
        <v>102</v>
      </c>
      <c r="B68" s="192">
        <f>(B67/B66)*(B65/B64)*(B63/B62)*(B61/B60)*B59</f>
        <v>1250</v>
      </c>
      <c r="C68" s="494" t="s">
        <v>103</v>
      </c>
      <c r="D68" s="497">
        <v>600.13</v>
      </c>
      <c r="E68" s="181">
        <v>1</v>
      </c>
      <c r="F68" s="182">
        <v>199730470</v>
      </c>
      <c r="G68" s="270">
        <f>IF(ISBLANK(F68),"-",(F68/$D$50*$D$47*$B$68)*($B$57/$D$68))</f>
        <v>457.04111915413648</v>
      </c>
      <c r="H68" s="185">
        <f t="shared" si="0"/>
        <v>0.91408223830827295</v>
      </c>
    </row>
    <row r="69" spans="1:8" ht="27" customHeight="1" x14ac:dyDescent="0.4">
      <c r="A69" s="171" t="s">
        <v>104</v>
      </c>
      <c r="B69" s="193">
        <f>(D47*B68)/B56*B57</f>
        <v>594.69299999999998</v>
      </c>
      <c r="C69" s="495"/>
      <c r="D69" s="498"/>
      <c r="E69" s="184">
        <v>2</v>
      </c>
      <c r="F69" s="136">
        <v>194192670</v>
      </c>
      <c r="G69" s="271">
        <f>IF(ISBLANK(F69),"-",(F69/$D$50*$D$47*$B$68)*($B$57/$D$68))</f>
        <v>444.36903006501666</v>
      </c>
      <c r="H69" s="185">
        <f t="shared" si="0"/>
        <v>0.88873806013003331</v>
      </c>
    </row>
    <row r="70" spans="1:8" ht="26.25" customHeight="1" x14ac:dyDescent="0.4">
      <c r="A70" s="507" t="s">
        <v>77</v>
      </c>
      <c r="B70" s="508"/>
      <c r="C70" s="495"/>
      <c r="D70" s="498"/>
      <c r="E70" s="184">
        <v>3</v>
      </c>
      <c r="F70" s="136">
        <v>202140016</v>
      </c>
      <c r="G70" s="271">
        <f>IF(ISBLANK(F70),"-",(F70/$D$50*$D$47*$B$68)*($B$57/$D$68))</f>
        <v>462.55485774641721</v>
      </c>
      <c r="H70" s="185">
        <f t="shared" si="0"/>
        <v>0.92510971549283438</v>
      </c>
    </row>
    <row r="71" spans="1:8" ht="27" customHeight="1" x14ac:dyDescent="0.4">
      <c r="A71" s="509"/>
      <c r="B71" s="510"/>
      <c r="C71" s="506"/>
      <c r="D71" s="499"/>
      <c r="E71" s="187">
        <v>4</v>
      </c>
      <c r="F71" s="188"/>
      <c r="G71" s="272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195"/>
      <c r="B72" s="195"/>
      <c r="C72" s="195"/>
      <c r="D72" s="195"/>
      <c r="E72" s="195"/>
      <c r="F72" s="197" t="s">
        <v>70</v>
      </c>
      <c r="G72" s="277">
        <f>AVERAGE(G60:G71)</f>
        <v>455.25364611125946</v>
      </c>
      <c r="H72" s="198">
        <f>AVERAGE(H60:H71)</f>
        <v>0.9105072922225188</v>
      </c>
    </row>
    <row r="73" spans="1:8" ht="26.25" customHeight="1" x14ac:dyDescent="0.4">
      <c r="C73" s="195"/>
      <c r="D73" s="195"/>
      <c r="E73" s="195"/>
      <c r="F73" s="199" t="s">
        <v>83</v>
      </c>
      <c r="G73" s="273">
        <f>STDEV(G60:G71)/G72</f>
        <v>1.7196300714120073E-2</v>
      </c>
      <c r="H73" s="273">
        <f>STDEV(H60:H71)/H72</f>
        <v>1.719630071412007E-2</v>
      </c>
    </row>
    <row r="74" spans="1:8" ht="27" customHeight="1" x14ac:dyDescent="0.4">
      <c r="A74" s="195"/>
      <c r="B74" s="195"/>
      <c r="C74" s="196"/>
      <c r="D74" s="196"/>
      <c r="E74" s="200"/>
      <c r="F74" s="201" t="s">
        <v>20</v>
      </c>
      <c r="G74" s="202">
        <f>COUNT(G60:G71)</f>
        <v>8</v>
      </c>
      <c r="H74" s="202">
        <f>COUNT(H60:H71)</f>
        <v>8</v>
      </c>
    </row>
    <row r="76" spans="1:8" ht="26.25" customHeight="1" x14ac:dyDescent="0.4">
      <c r="A76" s="108" t="s">
        <v>105</v>
      </c>
      <c r="B76" s="203" t="s">
        <v>106</v>
      </c>
      <c r="C76" s="502" t="str">
        <f>B20</f>
        <v>sulfadoxine</v>
      </c>
      <c r="D76" s="502"/>
      <c r="E76" s="204" t="s">
        <v>107</v>
      </c>
      <c r="F76" s="204"/>
      <c r="G76" s="205">
        <f>H72</f>
        <v>0.9105072922225188</v>
      </c>
      <c r="H76" s="206"/>
    </row>
    <row r="77" spans="1:8" ht="18.75" x14ac:dyDescent="0.3">
      <c r="A77" s="107" t="s">
        <v>108</v>
      </c>
      <c r="B77" s="107" t="s">
        <v>109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488" t="str">
        <f>B26</f>
        <v>sulphadoxine</v>
      </c>
      <c r="C79" s="488"/>
    </row>
    <row r="80" spans="1:8" ht="26.25" customHeight="1" x14ac:dyDescent="0.4">
      <c r="A80" s="109" t="s">
        <v>47</v>
      </c>
      <c r="B80" s="488" t="str">
        <f>B27</f>
        <v>S18 1</v>
      </c>
      <c r="C80" s="488"/>
    </row>
    <row r="81" spans="1:12" ht="27" customHeight="1" x14ac:dyDescent="0.4">
      <c r="A81" s="109" t="s">
        <v>6</v>
      </c>
      <c r="B81" s="207">
        <f>B28</f>
        <v>99.9</v>
      </c>
    </row>
    <row r="82" spans="1:12" s="14" customFormat="1" ht="27" customHeight="1" x14ac:dyDescent="0.4">
      <c r="A82" s="109" t="s">
        <v>48</v>
      </c>
      <c r="B82" s="111">
        <v>0</v>
      </c>
      <c r="C82" s="479" t="s">
        <v>49</v>
      </c>
      <c r="D82" s="480"/>
      <c r="E82" s="480"/>
      <c r="F82" s="480"/>
      <c r="G82" s="481"/>
      <c r="I82" s="112"/>
      <c r="J82" s="112"/>
      <c r="K82" s="112"/>
      <c r="L82" s="112"/>
    </row>
    <row r="83" spans="1:12" s="14" customFormat="1" ht="19.5" customHeight="1" x14ac:dyDescent="0.3">
      <c r="A83" s="109" t="s">
        <v>50</v>
      </c>
      <c r="B83" s="113">
        <f>B81-B82</f>
        <v>99.9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51</v>
      </c>
      <c r="B84" s="116">
        <v>1</v>
      </c>
      <c r="C84" s="482" t="s">
        <v>110</v>
      </c>
      <c r="D84" s="483"/>
      <c r="E84" s="483"/>
      <c r="F84" s="483"/>
      <c r="G84" s="483"/>
      <c r="H84" s="484"/>
      <c r="I84" s="112"/>
      <c r="J84" s="112"/>
      <c r="K84" s="112"/>
      <c r="L84" s="112"/>
    </row>
    <row r="85" spans="1:12" s="14" customFormat="1" ht="27" customHeight="1" x14ac:dyDescent="0.4">
      <c r="A85" s="109" t="s">
        <v>53</v>
      </c>
      <c r="B85" s="116">
        <v>1</v>
      </c>
      <c r="C85" s="482" t="s">
        <v>111</v>
      </c>
      <c r="D85" s="483"/>
      <c r="E85" s="483"/>
      <c r="F85" s="483"/>
      <c r="G85" s="483"/>
      <c r="H85" s="484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55</v>
      </c>
      <c r="B87" s="121">
        <f>B84/B85</f>
        <v>1</v>
      </c>
      <c r="C87" s="99" t="s">
        <v>56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57</v>
      </c>
      <c r="B89" s="123">
        <v>50</v>
      </c>
      <c r="D89" s="208" t="s">
        <v>58</v>
      </c>
      <c r="E89" s="209"/>
      <c r="F89" s="485" t="s">
        <v>59</v>
      </c>
      <c r="G89" s="487"/>
    </row>
    <row r="90" spans="1:12" ht="27" customHeight="1" x14ac:dyDescent="0.4">
      <c r="A90" s="124" t="s">
        <v>60</v>
      </c>
      <c r="B90" s="125">
        <v>1</v>
      </c>
      <c r="C90" s="210" t="s">
        <v>61</v>
      </c>
      <c r="D90" s="127" t="s">
        <v>62</v>
      </c>
      <c r="E90" s="128" t="s">
        <v>63</v>
      </c>
      <c r="F90" s="127" t="s">
        <v>62</v>
      </c>
      <c r="G90" s="211" t="s">
        <v>63</v>
      </c>
      <c r="I90" s="130" t="s">
        <v>64</v>
      </c>
    </row>
    <row r="91" spans="1:12" ht="26.25" customHeight="1" x14ac:dyDescent="0.4">
      <c r="A91" s="124" t="s">
        <v>65</v>
      </c>
      <c r="B91" s="125">
        <v>1</v>
      </c>
      <c r="C91" s="212">
        <v>1</v>
      </c>
      <c r="D91" s="314">
        <v>210631811</v>
      </c>
      <c r="E91" s="132">
        <f>IF(ISBLANK(D91),"-",$D$101/$D$98*D91)</f>
        <v>274391792.88606668</v>
      </c>
      <c r="F91" s="314">
        <v>223278872</v>
      </c>
      <c r="G91" s="133">
        <f>IF(ISBLANK(F91),"-",$D$101/$F$98*F91)</f>
        <v>265947613.48688045</v>
      </c>
      <c r="I91" s="134"/>
    </row>
    <row r="92" spans="1:12" ht="26.25" customHeight="1" x14ac:dyDescent="0.4">
      <c r="A92" s="124" t="s">
        <v>66</v>
      </c>
      <c r="B92" s="125">
        <v>1</v>
      </c>
      <c r="C92" s="196">
        <v>2</v>
      </c>
      <c r="D92" s="319">
        <v>210006951</v>
      </c>
      <c r="E92" s="137">
        <f>IF(ISBLANK(D92),"-",$D$101/$D$98*D92)</f>
        <v>273577782.62385237</v>
      </c>
      <c r="F92" s="319">
        <v>223487878</v>
      </c>
      <c r="G92" s="138">
        <f>IF(ISBLANK(F92),"-",$D$101/$F$98*F92)</f>
        <v>266196560.6730004</v>
      </c>
      <c r="I92" s="489">
        <f>ABS((F96/D96*D95)-F95)/D95</f>
        <v>3.1115060768715383E-2</v>
      </c>
    </row>
    <row r="93" spans="1:12" ht="26.25" customHeight="1" x14ac:dyDescent="0.4">
      <c r="A93" s="124" t="s">
        <v>67</v>
      </c>
      <c r="B93" s="125">
        <v>1</v>
      </c>
      <c r="C93" s="196">
        <v>3</v>
      </c>
      <c r="D93" s="319">
        <v>211142447</v>
      </c>
      <c r="E93" s="137">
        <f>IF(ISBLANK(D93),"-",$D$101/$D$98*D93)</f>
        <v>275057002.60385317</v>
      </c>
      <c r="F93" s="319">
        <v>224555204</v>
      </c>
      <c r="G93" s="138">
        <f>IF(ISBLANK(F93),"-",$D$101/$F$98*F93)</f>
        <v>267467853.38408369</v>
      </c>
      <c r="I93" s="489"/>
    </row>
    <row r="94" spans="1:12" ht="27" customHeight="1" x14ac:dyDescent="0.4">
      <c r="A94" s="124" t="s">
        <v>68</v>
      </c>
      <c r="B94" s="125">
        <v>1</v>
      </c>
      <c r="C94" s="213">
        <v>4</v>
      </c>
      <c r="D94" s="141"/>
      <c r="E94" s="142" t="str">
        <f>IF(ISBLANK(D94),"-",$D$101/$D$98*D94)</f>
        <v>-</v>
      </c>
      <c r="F94" s="214"/>
      <c r="G94" s="143" t="str">
        <f>IF(ISBLANK(F94),"-",$D$101/$F$98*F94)</f>
        <v>-</v>
      </c>
      <c r="I94" s="144"/>
    </row>
    <row r="95" spans="1:12" ht="27" customHeight="1" x14ac:dyDescent="0.4">
      <c r="A95" s="124" t="s">
        <v>69</v>
      </c>
      <c r="B95" s="125">
        <v>1</v>
      </c>
      <c r="C95" s="215" t="s">
        <v>70</v>
      </c>
      <c r="D95" s="216">
        <f>AVERAGE(D91:D94)</f>
        <v>210593736.33333334</v>
      </c>
      <c r="E95" s="147">
        <f>AVERAGE(E91:E94)</f>
        <v>274342192.70459074</v>
      </c>
      <c r="F95" s="217">
        <f>AVERAGE(F91:F94)</f>
        <v>223773984.66666666</v>
      </c>
      <c r="G95" s="218">
        <f>AVERAGE(G91:G94)</f>
        <v>266537342.51465487</v>
      </c>
    </row>
    <row r="96" spans="1:12" ht="26.25" customHeight="1" x14ac:dyDescent="0.4">
      <c r="A96" s="124" t="s">
        <v>71</v>
      </c>
      <c r="B96" s="110">
        <v>1</v>
      </c>
      <c r="C96" s="219" t="s">
        <v>112</v>
      </c>
      <c r="D96" s="220">
        <v>19.21</v>
      </c>
      <c r="E96" s="139"/>
      <c r="F96" s="151">
        <v>21.01</v>
      </c>
    </row>
    <row r="97" spans="1:10" ht="26.25" customHeight="1" x14ac:dyDescent="0.4">
      <c r="A97" s="124" t="s">
        <v>73</v>
      </c>
      <c r="B97" s="110">
        <v>1</v>
      </c>
      <c r="C97" s="221" t="s">
        <v>113</v>
      </c>
      <c r="D97" s="222">
        <f>D96*$B$87</f>
        <v>19.21</v>
      </c>
      <c r="E97" s="154"/>
      <c r="F97" s="153">
        <f>F96*$B$87</f>
        <v>21.01</v>
      </c>
    </row>
    <row r="98" spans="1:10" ht="19.5" customHeight="1" x14ac:dyDescent="0.3">
      <c r="A98" s="124" t="s">
        <v>75</v>
      </c>
      <c r="B98" s="223">
        <f>(B97/B96)*(B95/B94)*(B93/B92)*(B91/B90)*B89</f>
        <v>50</v>
      </c>
      <c r="C98" s="221" t="s">
        <v>114</v>
      </c>
      <c r="D98" s="224">
        <f>D97*$B$83/100</f>
        <v>19.190790000000003</v>
      </c>
      <c r="E98" s="157"/>
      <c r="F98" s="156">
        <f>F97*$B$83/100</f>
        <v>20.988990000000005</v>
      </c>
    </row>
    <row r="99" spans="1:10" ht="19.5" customHeight="1" x14ac:dyDescent="0.3">
      <c r="A99" s="490" t="s">
        <v>77</v>
      </c>
      <c r="B99" s="504"/>
      <c r="C99" s="221" t="s">
        <v>115</v>
      </c>
      <c r="D99" s="225">
        <f>D98/$B$98</f>
        <v>0.38381580000000004</v>
      </c>
      <c r="E99" s="157"/>
      <c r="F99" s="160">
        <f>F98/$B$98</f>
        <v>0.41977980000000009</v>
      </c>
      <c r="G99" s="226"/>
      <c r="H99" s="149"/>
    </row>
    <row r="100" spans="1:10" ht="19.5" customHeight="1" x14ac:dyDescent="0.3">
      <c r="A100" s="492"/>
      <c r="B100" s="505"/>
      <c r="C100" s="221" t="s">
        <v>79</v>
      </c>
      <c r="D100" s="227">
        <f>$B$56/$B$116</f>
        <v>0.5</v>
      </c>
      <c r="F100" s="165"/>
      <c r="G100" s="228"/>
      <c r="H100" s="149"/>
    </row>
    <row r="101" spans="1:10" ht="18.75" x14ac:dyDescent="0.3">
      <c r="C101" s="221" t="s">
        <v>80</v>
      </c>
      <c r="D101" s="222">
        <f>D100*$B$98</f>
        <v>25</v>
      </c>
      <c r="F101" s="165"/>
      <c r="G101" s="226"/>
      <c r="H101" s="149"/>
    </row>
    <row r="102" spans="1:10" ht="19.5" customHeight="1" x14ac:dyDescent="0.3">
      <c r="C102" s="229" t="s">
        <v>81</v>
      </c>
      <c r="D102" s="230">
        <f>D101/B34</f>
        <v>25</v>
      </c>
      <c r="F102" s="169"/>
      <c r="G102" s="226"/>
      <c r="H102" s="149"/>
      <c r="J102" s="231"/>
    </row>
    <row r="103" spans="1:10" ht="18.75" x14ac:dyDescent="0.3">
      <c r="C103" s="232" t="s">
        <v>116</v>
      </c>
      <c r="D103" s="233">
        <f>AVERAGE(E91:E94,G91:G94)</f>
        <v>270439767.60962278</v>
      </c>
      <c r="F103" s="169"/>
      <c r="G103" s="234"/>
      <c r="H103" s="149"/>
      <c r="J103" s="235"/>
    </row>
    <row r="104" spans="1:10" ht="18.75" x14ac:dyDescent="0.3">
      <c r="C104" s="199" t="s">
        <v>83</v>
      </c>
      <c r="D104" s="236">
        <f>STDEV(E91:E94,G91:G94)/D103</f>
        <v>1.6015785547334425E-2</v>
      </c>
      <c r="F104" s="169"/>
      <c r="G104" s="226"/>
      <c r="H104" s="149"/>
      <c r="J104" s="235"/>
    </row>
    <row r="105" spans="1:10" ht="19.5" customHeight="1" x14ac:dyDescent="0.3">
      <c r="C105" s="201" t="s">
        <v>20</v>
      </c>
      <c r="D105" s="237">
        <f>COUNT(E91:E94,G91:G94)</f>
        <v>6</v>
      </c>
      <c r="F105" s="169"/>
      <c r="G105" s="226"/>
      <c r="H105" s="149"/>
      <c r="J105" s="235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2" t="s">
        <v>117</v>
      </c>
      <c r="B107" s="123">
        <v>1000</v>
      </c>
      <c r="C107" s="238" t="s">
        <v>118</v>
      </c>
      <c r="D107" s="239" t="s">
        <v>62</v>
      </c>
      <c r="E107" s="240" t="s">
        <v>119</v>
      </c>
      <c r="F107" s="241" t="s">
        <v>120</v>
      </c>
    </row>
    <row r="108" spans="1:10" ht="26.25" customHeight="1" x14ac:dyDescent="0.4">
      <c r="A108" s="124" t="s">
        <v>121</v>
      </c>
      <c r="B108" s="125">
        <v>1</v>
      </c>
      <c r="C108" s="242">
        <v>1</v>
      </c>
      <c r="D108" s="243">
        <v>226651094</v>
      </c>
      <c r="E108" s="274">
        <f t="shared" ref="E108:E113" si="1">IF(ISBLANK(D108),"-",D108/$D$103*$D$100*$B$116)</f>
        <v>419.04172600674747</v>
      </c>
      <c r="F108" s="244">
        <f t="shared" ref="F108:F113" si="2">IF(ISBLANK(D108), "-", E108/$B$56)</f>
        <v>0.83808345201349499</v>
      </c>
    </row>
    <row r="109" spans="1:10" ht="26.25" customHeight="1" x14ac:dyDescent="0.4">
      <c r="A109" s="124" t="s">
        <v>94</v>
      </c>
      <c r="B109" s="125">
        <v>1</v>
      </c>
      <c r="C109" s="242">
        <v>2</v>
      </c>
      <c r="D109" s="243">
        <v>208998171</v>
      </c>
      <c r="E109" s="275">
        <f t="shared" si="1"/>
        <v>386.40428670550938</v>
      </c>
      <c r="F109" s="245">
        <f t="shared" si="2"/>
        <v>0.77280857341101872</v>
      </c>
    </row>
    <row r="110" spans="1:10" ht="26.25" customHeight="1" x14ac:dyDescent="0.4">
      <c r="A110" s="124" t="s">
        <v>95</v>
      </c>
      <c r="B110" s="125">
        <v>1</v>
      </c>
      <c r="C110" s="242">
        <v>3</v>
      </c>
      <c r="D110" s="243">
        <v>239563138</v>
      </c>
      <c r="E110" s="275">
        <f t="shared" si="1"/>
        <v>442.91403612246683</v>
      </c>
      <c r="F110" s="245">
        <f t="shared" si="2"/>
        <v>0.88582807224493365</v>
      </c>
    </row>
    <row r="111" spans="1:10" ht="26.25" customHeight="1" x14ac:dyDescent="0.4">
      <c r="A111" s="124" t="s">
        <v>96</v>
      </c>
      <c r="B111" s="125">
        <v>1</v>
      </c>
      <c r="C111" s="242">
        <v>4</v>
      </c>
      <c r="D111" s="243">
        <v>233911942</v>
      </c>
      <c r="E111" s="275">
        <f t="shared" si="1"/>
        <v>432.46587598324231</v>
      </c>
      <c r="F111" s="245">
        <f t="shared" si="2"/>
        <v>0.86493175196648464</v>
      </c>
    </row>
    <row r="112" spans="1:10" ht="26.25" customHeight="1" x14ac:dyDescent="0.4">
      <c r="A112" s="124" t="s">
        <v>97</v>
      </c>
      <c r="B112" s="125">
        <v>1</v>
      </c>
      <c r="C112" s="242">
        <v>5</v>
      </c>
      <c r="D112" s="243">
        <v>232309578</v>
      </c>
      <c r="E112" s="275">
        <f t="shared" si="1"/>
        <v>429.50336049566619</v>
      </c>
      <c r="F112" s="245">
        <f t="shared" si="2"/>
        <v>0.85900672099133235</v>
      </c>
    </row>
    <row r="113" spans="1:10" ht="26.25" customHeight="1" x14ac:dyDescent="0.4">
      <c r="A113" s="124" t="s">
        <v>99</v>
      </c>
      <c r="B113" s="125">
        <v>1</v>
      </c>
      <c r="C113" s="246">
        <v>6</v>
      </c>
      <c r="D113" s="247">
        <v>201924349</v>
      </c>
      <c r="E113" s="276">
        <f t="shared" si="1"/>
        <v>373.32591797570961</v>
      </c>
      <c r="F113" s="248">
        <f t="shared" si="2"/>
        <v>0.74665183595141926</v>
      </c>
    </row>
    <row r="114" spans="1:10" ht="26.25" customHeight="1" x14ac:dyDescent="0.4">
      <c r="A114" s="124" t="s">
        <v>100</v>
      </c>
      <c r="B114" s="125">
        <v>1</v>
      </c>
      <c r="C114" s="242"/>
      <c r="D114" s="196"/>
      <c r="E114" s="98"/>
      <c r="F114" s="249"/>
    </row>
    <row r="115" spans="1:10" ht="26.25" customHeight="1" x14ac:dyDescent="0.4">
      <c r="A115" s="124" t="s">
        <v>101</v>
      </c>
      <c r="B115" s="125">
        <v>1</v>
      </c>
      <c r="C115" s="242"/>
      <c r="D115" s="250" t="s">
        <v>70</v>
      </c>
      <c r="E115" s="278">
        <f>AVERAGE(E108:E113)</f>
        <v>413.94253388155698</v>
      </c>
      <c r="F115" s="251">
        <f>AVERAGE(F108:F113)</f>
        <v>0.82788506776311399</v>
      </c>
    </row>
    <row r="116" spans="1:10" ht="27" customHeight="1" x14ac:dyDescent="0.4">
      <c r="A116" s="124" t="s">
        <v>102</v>
      </c>
      <c r="B116" s="155">
        <f>(B115/B114)*(B113/B112)*(B111/B110)*(B109/B108)*B107</f>
        <v>1000</v>
      </c>
      <c r="C116" s="252"/>
      <c r="D116" s="215" t="s">
        <v>83</v>
      </c>
      <c r="E116" s="253">
        <f>STDEV(E108:E113)/E115</f>
        <v>6.7110988866946372E-2</v>
      </c>
      <c r="F116" s="253">
        <f>STDEV(F108:F113)/F115</f>
        <v>6.7110988866946372E-2</v>
      </c>
      <c r="I116" s="98"/>
    </row>
    <row r="117" spans="1:10" ht="27" customHeight="1" x14ac:dyDescent="0.4">
      <c r="A117" s="490" t="s">
        <v>77</v>
      </c>
      <c r="B117" s="491"/>
      <c r="C117" s="254"/>
      <c r="D117" s="255" t="s">
        <v>20</v>
      </c>
      <c r="E117" s="256">
        <f>COUNT(E108:E113)</f>
        <v>6</v>
      </c>
      <c r="F117" s="256">
        <f>COUNT(F108:F113)</f>
        <v>6</v>
      </c>
      <c r="I117" s="98"/>
      <c r="J117" s="235"/>
    </row>
    <row r="118" spans="1:10" ht="19.5" customHeight="1" x14ac:dyDescent="0.3">
      <c r="A118" s="492"/>
      <c r="B118" s="493"/>
      <c r="C118" s="98"/>
      <c r="D118" s="98"/>
      <c r="E118" s="98"/>
      <c r="F118" s="196"/>
      <c r="G118" s="98"/>
      <c r="H118" s="98"/>
      <c r="I118" s="98"/>
    </row>
    <row r="119" spans="1:10" ht="18.75" x14ac:dyDescent="0.3">
      <c r="A119" s="265"/>
      <c r="B119" s="120"/>
      <c r="C119" s="98"/>
      <c r="D119" s="98"/>
      <c r="E119" s="98"/>
      <c r="F119" s="196"/>
      <c r="G119" s="98"/>
      <c r="H119" s="98"/>
      <c r="I119" s="98"/>
    </row>
    <row r="120" spans="1:10" ht="26.25" customHeight="1" x14ac:dyDescent="0.4">
      <c r="A120" s="108" t="s">
        <v>105</v>
      </c>
      <c r="B120" s="203" t="s">
        <v>122</v>
      </c>
      <c r="C120" s="502" t="str">
        <f>B20</f>
        <v>sulfadoxine</v>
      </c>
      <c r="D120" s="502"/>
      <c r="E120" s="204" t="s">
        <v>123</v>
      </c>
      <c r="F120" s="204"/>
      <c r="G120" s="205">
        <f>F115</f>
        <v>0.82788506776311399</v>
      </c>
      <c r="H120" s="98"/>
      <c r="I120" s="98"/>
    </row>
    <row r="121" spans="1:10" ht="19.5" customHeight="1" x14ac:dyDescent="0.3">
      <c r="A121" s="257"/>
      <c r="B121" s="257"/>
      <c r="C121" s="258"/>
      <c r="D121" s="258"/>
      <c r="E121" s="258"/>
      <c r="F121" s="258"/>
      <c r="G121" s="258"/>
      <c r="H121" s="258"/>
    </row>
    <row r="122" spans="1:10" ht="18.75" x14ac:dyDescent="0.3">
      <c r="B122" s="503" t="s">
        <v>25</v>
      </c>
      <c r="C122" s="503"/>
      <c r="E122" s="210" t="s">
        <v>26</v>
      </c>
      <c r="F122" s="259"/>
      <c r="G122" s="503" t="s">
        <v>27</v>
      </c>
      <c r="H122" s="503"/>
    </row>
    <row r="123" spans="1:10" ht="69.95" customHeight="1" x14ac:dyDescent="0.3">
      <c r="A123" s="260" t="s">
        <v>28</v>
      </c>
      <c r="B123" s="261"/>
      <c r="C123" s="261"/>
      <c r="E123" s="261"/>
      <c r="F123" s="98"/>
      <c r="G123" s="262"/>
      <c r="H123" s="262"/>
    </row>
    <row r="124" spans="1:10" ht="69.95" customHeight="1" x14ac:dyDescent="0.3">
      <c r="A124" s="260" t="s">
        <v>29</v>
      </c>
      <c r="B124" s="263"/>
      <c r="C124" s="263"/>
      <c r="E124" s="263"/>
      <c r="F124" s="98"/>
      <c r="G124" s="264"/>
      <c r="H124" s="264"/>
    </row>
    <row r="125" spans="1:10" ht="18.75" x14ac:dyDescent="0.3">
      <c r="A125" s="195"/>
      <c r="B125" s="195"/>
      <c r="C125" s="196"/>
      <c r="D125" s="196"/>
      <c r="E125" s="196"/>
      <c r="F125" s="200"/>
      <c r="G125" s="196"/>
      <c r="H125" s="196"/>
      <c r="I125" s="98"/>
    </row>
    <row r="126" spans="1:10" ht="18.75" x14ac:dyDescent="0.3">
      <c r="A126" s="195"/>
      <c r="B126" s="195"/>
      <c r="C126" s="196"/>
      <c r="D126" s="196"/>
      <c r="E126" s="196"/>
      <c r="F126" s="200"/>
      <c r="G126" s="196"/>
      <c r="H126" s="196"/>
      <c r="I126" s="98"/>
    </row>
    <row r="127" spans="1:10" ht="18.75" x14ac:dyDescent="0.3">
      <c r="A127" s="195"/>
      <c r="B127" s="195"/>
      <c r="C127" s="196"/>
      <c r="D127" s="196"/>
      <c r="E127" s="196"/>
      <c r="F127" s="200"/>
      <c r="G127" s="196"/>
      <c r="H127" s="196"/>
      <c r="I127" s="98"/>
    </row>
    <row r="128" spans="1:10" ht="18.75" x14ac:dyDescent="0.3">
      <c r="A128" s="195"/>
      <c r="B128" s="195"/>
      <c r="C128" s="196"/>
      <c r="D128" s="196"/>
      <c r="E128" s="196"/>
      <c r="F128" s="200"/>
      <c r="G128" s="196"/>
      <c r="H128" s="196"/>
      <c r="I128" s="98"/>
    </row>
    <row r="129" spans="1:9" ht="18.75" x14ac:dyDescent="0.3">
      <c r="A129" s="195"/>
      <c r="B129" s="195"/>
      <c r="C129" s="196"/>
      <c r="D129" s="196"/>
      <c r="E129" s="196"/>
      <c r="F129" s="200"/>
      <c r="G129" s="196"/>
      <c r="H129" s="196"/>
      <c r="I129" s="98"/>
    </row>
    <row r="130" spans="1:9" ht="18.75" x14ac:dyDescent="0.3">
      <c r="A130" s="195"/>
      <c r="B130" s="195"/>
      <c r="C130" s="196"/>
      <c r="D130" s="196"/>
      <c r="E130" s="196"/>
      <c r="F130" s="200"/>
      <c r="G130" s="196"/>
      <c r="H130" s="196"/>
      <c r="I130" s="98"/>
    </row>
    <row r="131" spans="1:9" ht="18.75" x14ac:dyDescent="0.3">
      <c r="A131" s="195"/>
      <c r="B131" s="195"/>
      <c r="C131" s="196"/>
      <c r="D131" s="196"/>
      <c r="E131" s="196"/>
      <c r="F131" s="200"/>
      <c r="G131" s="196"/>
      <c r="H131" s="196"/>
      <c r="I131" s="98"/>
    </row>
    <row r="132" spans="1:9" ht="18.75" x14ac:dyDescent="0.3">
      <c r="A132" s="195"/>
      <c r="B132" s="195"/>
      <c r="C132" s="196"/>
      <c r="D132" s="196"/>
      <c r="E132" s="196"/>
      <c r="F132" s="200"/>
      <c r="G132" s="196"/>
      <c r="H132" s="196"/>
      <c r="I132" s="98"/>
    </row>
    <row r="133" spans="1:9" ht="18.75" x14ac:dyDescent="0.3">
      <c r="A133" s="195"/>
      <c r="B133" s="195"/>
      <c r="C133" s="196"/>
      <c r="D133" s="196"/>
      <c r="E133" s="196"/>
      <c r="F133" s="200"/>
      <c r="G133" s="196"/>
      <c r="H133" s="196"/>
      <c r="I133" s="98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5" zoomScaleNormal="40" zoomScalePageLayoutView="55" workbookViewId="0">
      <selection sqref="A1:I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0" t="s">
        <v>44</v>
      </c>
      <c r="B1" s="500"/>
      <c r="C1" s="500"/>
      <c r="D1" s="500"/>
      <c r="E1" s="500"/>
      <c r="F1" s="500"/>
      <c r="G1" s="500"/>
      <c r="H1" s="500"/>
      <c r="I1" s="500"/>
    </row>
    <row r="2" spans="1:9" ht="18.75" customHeight="1" x14ac:dyDescent="0.25">
      <c r="A2" s="500"/>
      <c r="B2" s="500"/>
      <c r="C2" s="500"/>
      <c r="D2" s="500"/>
      <c r="E2" s="500"/>
      <c r="F2" s="500"/>
      <c r="G2" s="500"/>
      <c r="H2" s="500"/>
      <c r="I2" s="500"/>
    </row>
    <row r="3" spans="1:9" ht="18.75" customHeight="1" x14ac:dyDescent="0.25">
      <c r="A3" s="500"/>
      <c r="B3" s="500"/>
      <c r="C3" s="500"/>
      <c r="D3" s="500"/>
      <c r="E3" s="500"/>
      <c r="F3" s="500"/>
      <c r="G3" s="500"/>
      <c r="H3" s="500"/>
      <c r="I3" s="500"/>
    </row>
    <row r="4" spans="1:9" ht="18.75" customHeight="1" x14ac:dyDescent="0.25">
      <c r="A4" s="500"/>
      <c r="B4" s="500"/>
      <c r="C4" s="500"/>
      <c r="D4" s="500"/>
      <c r="E4" s="500"/>
      <c r="F4" s="500"/>
      <c r="G4" s="500"/>
      <c r="H4" s="500"/>
      <c r="I4" s="500"/>
    </row>
    <row r="5" spans="1:9" ht="18.75" customHeight="1" x14ac:dyDescent="0.25">
      <c r="A5" s="500"/>
      <c r="B5" s="500"/>
      <c r="C5" s="500"/>
      <c r="D5" s="500"/>
      <c r="E5" s="500"/>
      <c r="F5" s="500"/>
      <c r="G5" s="500"/>
      <c r="H5" s="500"/>
      <c r="I5" s="500"/>
    </row>
    <row r="6" spans="1:9" ht="18.75" customHeight="1" x14ac:dyDescent="0.25">
      <c r="A6" s="500"/>
      <c r="B6" s="500"/>
      <c r="C6" s="500"/>
      <c r="D6" s="500"/>
      <c r="E6" s="500"/>
      <c r="F6" s="500"/>
      <c r="G6" s="500"/>
      <c r="H6" s="500"/>
      <c r="I6" s="500"/>
    </row>
    <row r="7" spans="1:9" ht="18.75" customHeight="1" x14ac:dyDescent="0.25">
      <c r="A7" s="500"/>
      <c r="B7" s="500"/>
      <c r="C7" s="500"/>
      <c r="D7" s="500"/>
      <c r="E7" s="500"/>
      <c r="F7" s="500"/>
      <c r="G7" s="500"/>
      <c r="H7" s="500"/>
      <c r="I7" s="500"/>
    </row>
    <row r="8" spans="1:9" x14ac:dyDescent="0.25">
      <c r="A8" s="501" t="s">
        <v>45</v>
      </c>
      <c r="B8" s="501"/>
      <c r="C8" s="501"/>
      <c r="D8" s="501"/>
      <c r="E8" s="501"/>
      <c r="F8" s="501"/>
      <c r="G8" s="501"/>
      <c r="H8" s="501"/>
      <c r="I8" s="501"/>
    </row>
    <row r="9" spans="1:9" x14ac:dyDescent="0.25">
      <c r="A9" s="501"/>
      <c r="B9" s="501"/>
      <c r="C9" s="501"/>
      <c r="D9" s="501"/>
      <c r="E9" s="501"/>
      <c r="F9" s="501"/>
      <c r="G9" s="501"/>
      <c r="H9" s="501"/>
      <c r="I9" s="501"/>
    </row>
    <row r="10" spans="1:9" x14ac:dyDescent="0.25">
      <c r="A10" s="501"/>
      <c r="B10" s="501"/>
      <c r="C10" s="501"/>
      <c r="D10" s="501"/>
      <c r="E10" s="501"/>
      <c r="F10" s="501"/>
      <c r="G10" s="501"/>
      <c r="H10" s="501"/>
      <c r="I10" s="501"/>
    </row>
    <row r="11" spans="1:9" x14ac:dyDescent="0.25">
      <c r="A11" s="501"/>
      <c r="B11" s="501"/>
      <c r="C11" s="501"/>
      <c r="D11" s="501"/>
      <c r="E11" s="501"/>
      <c r="F11" s="501"/>
      <c r="G11" s="501"/>
      <c r="H11" s="501"/>
      <c r="I11" s="501"/>
    </row>
    <row r="12" spans="1:9" x14ac:dyDescent="0.25">
      <c r="A12" s="501"/>
      <c r="B12" s="501"/>
      <c r="C12" s="501"/>
      <c r="D12" s="501"/>
      <c r="E12" s="501"/>
      <c r="F12" s="501"/>
      <c r="G12" s="501"/>
      <c r="H12" s="501"/>
      <c r="I12" s="501"/>
    </row>
    <row r="13" spans="1:9" x14ac:dyDescent="0.25">
      <c r="A13" s="501"/>
      <c r="B13" s="501"/>
      <c r="C13" s="501"/>
      <c r="D13" s="501"/>
      <c r="E13" s="501"/>
      <c r="F13" s="501"/>
      <c r="G13" s="501"/>
      <c r="H13" s="501"/>
      <c r="I13" s="501"/>
    </row>
    <row r="14" spans="1:9" x14ac:dyDescent="0.25">
      <c r="A14" s="501"/>
      <c r="B14" s="501"/>
      <c r="C14" s="501"/>
      <c r="D14" s="501"/>
      <c r="E14" s="501"/>
      <c r="F14" s="501"/>
      <c r="G14" s="501"/>
      <c r="H14" s="501"/>
      <c r="I14" s="501"/>
    </row>
    <row r="15" spans="1:9" ht="19.5" customHeight="1" x14ac:dyDescent="0.3">
      <c r="A15" s="280"/>
    </row>
    <row r="16" spans="1:9" ht="19.5" customHeight="1" x14ac:dyDescent="0.3">
      <c r="A16" s="473" t="s">
        <v>30</v>
      </c>
      <c r="B16" s="474"/>
      <c r="C16" s="474"/>
      <c r="D16" s="474"/>
      <c r="E16" s="474"/>
      <c r="F16" s="474"/>
      <c r="G16" s="474"/>
      <c r="H16" s="475"/>
    </row>
    <row r="17" spans="1:14" ht="20.25" customHeight="1" x14ac:dyDescent="0.25">
      <c r="A17" s="476" t="s">
        <v>46</v>
      </c>
      <c r="B17" s="476"/>
      <c r="C17" s="476"/>
      <c r="D17" s="476"/>
      <c r="E17" s="476"/>
      <c r="F17" s="476"/>
      <c r="G17" s="476"/>
      <c r="H17" s="476"/>
    </row>
    <row r="18" spans="1:14" ht="26.25" customHeight="1" x14ac:dyDescent="0.4">
      <c r="A18" s="282" t="s">
        <v>32</v>
      </c>
      <c r="B18" s="472" t="s">
        <v>5</v>
      </c>
      <c r="C18" s="472"/>
      <c r="D18" s="448"/>
      <c r="E18" s="283"/>
      <c r="F18" s="284"/>
      <c r="G18" s="284"/>
      <c r="H18" s="284"/>
    </row>
    <row r="19" spans="1:14" ht="26.25" customHeight="1" x14ac:dyDescent="0.4">
      <c r="A19" s="282" t="s">
        <v>33</v>
      </c>
      <c r="B19" s="285" t="s">
        <v>7</v>
      </c>
      <c r="C19" s="461">
        <v>29</v>
      </c>
      <c r="D19" s="284"/>
      <c r="E19" s="284"/>
      <c r="F19" s="284"/>
      <c r="G19" s="284"/>
      <c r="H19" s="284"/>
    </row>
    <row r="20" spans="1:14" ht="26.25" customHeight="1" x14ac:dyDescent="0.4">
      <c r="A20" s="282" t="s">
        <v>34</v>
      </c>
      <c r="B20" s="477" t="s">
        <v>130</v>
      </c>
      <c r="C20" s="477"/>
      <c r="D20" s="284"/>
      <c r="E20" s="284"/>
      <c r="F20" s="284"/>
      <c r="G20" s="284"/>
      <c r="H20" s="284"/>
    </row>
    <row r="21" spans="1:14" ht="26.25" customHeight="1" x14ac:dyDescent="0.4">
      <c r="A21" s="282" t="s">
        <v>35</v>
      </c>
      <c r="B21" s="477" t="s">
        <v>11</v>
      </c>
      <c r="C21" s="477"/>
      <c r="D21" s="477"/>
      <c r="E21" s="477"/>
      <c r="F21" s="477"/>
      <c r="G21" s="477"/>
      <c r="H21" s="477"/>
      <c r="I21" s="286"/>
    </row>
    <row r="22" spans="1:14" ht="26.25" customHeight="1" x14ac:dyDescent="0.4">
      <c r="A22" s="282" t="s">
        <v>36</v>
      </c>
      <c r="B22" s="287" t="s">
        <v>12</v>
      </c>
      <c r="C22" s="284"/>
      <c r="D22" s="284"/>
      <c r="E22" s="284"/>
      <c r="F22" s="284"/>
      <c r="G22" s="284"/>
      <c r="H22" s="284"/>
    </row>
    <row r="23" spans="1:14" ht="26.25" customHeight="1" x14ac:dyDescent="0.4">
      <c r="A23" s="282" t="s">
        <v>37</v>
      </c>
      <c r="B23" s="287"/>
      <c r="C23" s="284"/>
      <c r="D23" s="284"/>
      <c r="E23" s="284"/>
      <c r="F23" s="284"/>
      <c r="G23" s="284"/>
      <c r="H23" s="284"/>
    </row>
    <row r="24" spans="1:14" ht="18.75" x14ac:dyDescent="0.3">
      <c r="A24" s="282"/>
      <c r="B24" s="288"/>
    </row>
    <row r="25" spans="1:14" ht="18.75" x14ac:dyDescent="0.3">
      <c r="A25" s="289" t="s">
        <v>1</v>
      </c>
      <c r="B25" s="288"/>
    </row>
    <row r="26" spans="1:14" ht="26.25" customHeight="1" x14ac:dyDescent="0.4">
      <c r="A26" s="290" t="s">
        <v>4</v>
      </c>
      <c r="B26" s="472" t="s">
        <v>124</v>
      </c>
      <c r="C26" s="472"/>
    </row>
    <row r="27" spans="1:14" ht="26.25" customHeight="1" x14ac:dyDescent="0.4">
      <c r="A27" s="291" t="s">
        <v>47</v>
      </c>
      <c r="B27" s="478" t="s">
        <v>125</v>
      </c>
      <c r="C27" s="478"/>
    </row>
    <row r="28" spans="1:14" ht="27" customHeight="1" x14ac:dyDescent="0.4">
      <c r="A28" s="291" t="s">
        <v>6</v>
      </c>
      <c r="B28" s="292">
        <v>99.8</v>
      </c>
    </row>
    <row r="29" spans="1:14" s="14" customFormat="1" ht="27" customHeight="1" x14ac:dyDescent="0.4">
      <c r="A29" s="291" t="s">
        <v>48</v>
      </c>
      <c r="B29" s="293">
        <v>0</v>
      </c>
      <c r="C29" s="479" t="s">
        <v>49</v>
      </c>
      <c r="D29" s="480"/>
      <c r="E29" s="480"/>
      <c r="F29" s="480"/>
      <c r="G29" s="481"/>
      <c r="I29" s="294"/>
      <c r="J29" s="294"/>
      <c r="K29" s="294"/>
      <c r="L29" s="294"/>
    </row>
    <row r="30" spans="1:14" s="14" customFormat="1" ht="19.5" customHeight="1" x14ac:dyDescent="0.3">
      <c r="A30" s="291" t="s">
        <v>50</v>
      </c>
      <c r="B30" s="295">
        <f>B28-B29</f>
        <v>99.8</v>
      </c>
      <c r="C30" s="296"/>
      <c r="D30" s="296"/>
      <c r="E30" s="296"/>
      <c r="F30" s="296"/>
      <c r="G30" s="297"/>
      <c r="I30" s="294"/>
      <c r="J30" s="294"/>
      <c r="K30" s="294"/>
      <c r="L30" s="294"/>
    </row>
    <row r="31" spans="1:14" s="14" customFormat="1" ht="27" customHeight="1" x14ac:dyDescent="0.4">
      <c r="A31" s="291" t="s">
        <v>51</v>
      </c>
      <c r="B31" s="298">
        <v>1</v>
      </c>
      <c r="C31" s="482" t="s">
        <v>52</v>
      </c>
      <c r="D31" s="483"/>
      <c r="E31" s="483"/>
      <c r="F31" s="483"/>
      <c r="G31" s="483"/>
      <c r="H31" s="484"/>
      <c r="I31" s="294"/>
      <c r="J31" s="294"/>
      <c r="K31" s="294"/>
      <c r="L31" s="294"/>
    </row>
    <row r="32" spans="1:14" s="14" customFormat="1" ht="27" customHeight="1" x14ac:dyDescent="0.4">
      <c r="A32" s="291" t="s">
        <v>53</v>
      </c>
      <c r="B32" s="298">
        <v>1</v>
      </c>
      <c r="C32" s="482" t="s">
        <v>54</v>
      </c>
      <c r="D32" s="483"/>
      <c r="E32" s="483"/>
      <c r="F32" s="483"/>
      <c r="G32" s="483"/>
      <c r="H32" s="484"/>
      <c r="I32" s="294"/>
      <c r="J32" s="294"/>
      <c r="K32" s="294"/>
      <c r="L32" s="299"/>
      <c r="M32" s="299"/>
      <c r="N32" s="300"/>
    </row>
    <row r="33" spans="1:14" s="14" customFormat="1" ht="17.25" customHeight="1" x14ac:dyDescent="0.3">
      <c r="A33" s="291"/>
      <c r="B33" s="301"/>
      <c r="C33" s="302"/>
      <c r="D33" s="302"/>
      <c r="E33" s="302"/>
      <c r="F33" s="302"/>
      <c r="G33" s="302"/>
      <c r="H33" s="302"/>
      <c r="I33" s="294"/>
      <c r="J33" s="294"/>
      <c r="K33" s="294"/>
      <c r="L33" s="299"/>
      <c r="M33" s="299"/>
      <c r="N33" s="300"/>
    </row>
    <row r="34" spans="1:14" s="14" customFormat="1" ht="18.75" x14ac:dyDescent="0.3">
      <c r="A34" s="291" t="s">
        <v>55</v>
      </c>
      <c r="B34" s="303">
        <f>B31/B32</f>
        <v>1</v>
      </c>
      <c r="C34" s="281" t="s">
        <v>56</v>
      </c>
      <c r="D34" s="281"/>
      <c r="E34" s="281"/>
      <c r="F34" s="281"/>
      <c r="G34" s="281"/>
      <c r="I34" s="294"/>
      <c r="J34" s="294"/>
      <c r="K34" s="294"/>
      <c r="L34" s="299"/>
      <c r="M34" s="299"/>
      <c r="N34" s="300"/>
    </row>
    <row r="35" spans="1:14" s="14" customFormat="1" ht="19.5" customHeight="1" x14ac:dyDescent="0.3">
      <c r="A35" s="291"/>
      <c r="B35" s="295"/>
      <c r="G35" s="281"/>
      <c r="I35" s="294"/>
      <c r="J35" s="294"/>
      <c r="K35" s="294"/>
      <c r="L35" s="299"/>
      <c r="M35" s="299"/>
      <c r="N35" s="300"/>
    </row>
    <row r="36" spans="1:14" s="14" customFormat="1" ht="27" customHeight="1" x14ac:dyDescent="0.4">
      <c r="A36" s="304" t="s">
        <v>57</v>
      </c>
      <c r="B36" s="305">
        <v>50</v>
      </c>
      <c r="C36" s="281"/>
      <c r="D36" s="485" t="s">
        <v>58</v>
      </c>
      <c r="E36" s="486"/>
      <c r="F36" s="485" t="s">
        <v>59</v>
      </c>
      <c r="G36" s="487"/>
      <c r="J36" s="294"/>
      <c r="K36" s="294"/>
      <c r="L36" s="299"/>
      <c r="M36" s="299"/>
      <c r="N36" s="300"/>
    </row>
    <row r="37" spans="1:14" s="14" customFormat="1" ht="27" customHeight="1" x14ac:dyDescent="0.4">
      <c r="A37" s="306" t="s">
        <v>60</v>
      </c>
      <c r="B37" s="307">
        <v>5</v>
      </c>
      <c r="C37" s="308" t="s">
        <v>61</v>
      </c>
      <c r="D37" s="309" t="s">
        <v>62</v>
      </c>
      <c r="E37" s="310" t="s">
        <v>63</v>
      </c>
      <c r="F37" s="309" t="s">
        <v>62</v>
      </c>
      <c r="G37" s="311" t="s">
        <v>63</v>
      </c>
      <c r="I37" s="312" t="s">
        <v>64</v>
      </c>
      <c r="J37" s="294"/>
      <c r="K37" s="294"/>
      <c r="L37" s="299"/>
      <c r="M37" s="299"/>
      <c r="N37" s="300"/>
    </row>
    <row r="38" spans="1:14" s="14" customFormat="1" ht="26.25" customHeight="1" x14ac:dyDescent="0.4">
      <c r="A38" s="306" t="s">
        <v>65</v>
      </c>
      <c r="B38" s="307">
        <v>50</v>
      </c>
      <c r="C38" s="313">
        <v>1</v>
      </c>
      <c r="D38" s="314">
        <v>7541534</v>
      </c>
      <c r="E38" s="315">
        <f>IF(ISBLANK(D38),"-",$D$48/$D$45*D38)</f>
        <v>7029439.3438038882</v>
      </c>
      <c r="F38" s="314">
        <v>7284703</v>
      </c>
      <c r="G38" s="316">
        <f>IF(ISBLANK(F38),"-",$D$48/$F$45*F38)</f>
        <v>6809050.0029910561</v>
      </c>
      <c r="I38" s="317"/>
      <c r="J38" s="294"/>
      <c r="K38" s="294"/>
      <c r="L38" s="299"/>
      <c r="M38" s="299"/>
      <c r="N38" s="300"/>
    </row>
    <row r="39" spans="1:14" s="14" customFormat="1" ht="26.25" customHeight="1" x14ac:dyDescent="0.4">
      <c r="A39" s="306" t="s">
        <v>66</v>
      </c>
      <c r="B39" s="307">
        <v>1</v>
      </c>
      <c r="C39" s="318">
        <v>2</v>
      </c>
      <c r="D39" s="314">
        <v>7611892</v>
      </c>
      <c r="E39" s="320">
        <f>IF(ISBLANK(D39),"-",$D$48/$D$45*D39)</f>
        <v>7095019.8070559734</v>
      </c>
      <c r="F39" s="319">
        <v>7273120</v>
      </c>
      <c r="G39" s="321">
        <f>IF(ISBLANK(F39),"-",$D$48/$F$45*F39)</f>
        <v>6798223.3122962341</v>
      </c>
      <c r="I39" s="489">
        <f>ABS((F43/D43*D42)-F42)/D42</f>
        <v>3.0328723005230096E-2</v>
      </c>
      <c r="J39" s="294"/>
      <c r="K39" s="294"/>
      <c r="L39" s="299"/>
      <c r="M39" s="299"/>
      <c r="N39" s="300"/>
    </row>
    <row r="40" spans="1:14" ht="26.25" customHeight="1" x14ac:dyDescent="0.4">
      <c r="A40" s="306" t="s">
        <v>67</v>
      </c>
      <c r="B40" s="307">
        <v>1</v>
      </c>
      <c r="C40" s="318">
        <v>3</v>
      </c>
      <c r="D40" s="314">
        <v>7452374</v>
      </c>
      <c r="E40" s="320">
        <f>IF(ISBLANK(D40),"-",$D$48/$D$45*D40)</f>
        <v>6946333.5974274138</v>
      </c>
      <c r="F40" s="319">
        <v>7299286</v>
      </c>
      <c r="G40" s="321">
        <f>IF(ISBLANK(F40),"-",$D$48/$F$45*F40)</f>
        <v>6822680.8093799539</v>
      </c>
      <c r="I40" s="489"/>
      <c r="L40" s="299"/>
      <c r="M40" s="299"/>
      <c r="N40" s="322"/>
    </row>
    <row r="41" spans="1:14" ht="27" customHeight="1" x14ac:dyDescent="0.4">
      <c r="A41" s="306" t="s">
        <v>68</v>
      </c>
      <c r="B41" s="307">
        <v>1</v>
      </c>
      <c r="C41" s="323">
        <v>4</v>
      </c>
      <c r="D41" s="324"/>
      <c r="E41" s="325" t="str">
        <f>IF(ISBLANK(D41),"-",$D$48/$D$45*D41)</f>
        <v>-</v>
      </c>
      <c r="F41" s="324"/>
      <c r="G41" s="326" t="str">
        <f>IF(ISBLANK(F41),"-",$D$48/$F$45*F41)</f>
        <v>-</v>
      </c>
      <c r="I41" s="327"/>
      <c r="L41" s="299"/>
      <c r="M41" s="299"/>
      <c r="N41" s="322"/>
    </row>
    <row r="42" spans="1:14" ht="27" customHeight="1" x14ac:dyDescent="0.4">
      <c r="A42" s="306" t="s">
        <v>69</v>
      </c>
      <c r="B42" s="307">
        <v>1</v>
      </c>
      <c r="C42" s="328" t="s">
        <v>70</v>
      </c>
      <c r="D42" s="329">
        <f>AVERAGE(D38:D41)</f>
        <v>7535266.666666667</v>
      </c>
      <c r="E42" s="330">
        <f>AVERAGE(E38:E41)</f>
        <v>7023597.5827624248</v>
      </c>
      <c r="F42" s="329">
        <f>AVERAGE(F38:F41)</f>
        <v>7285703</v>
      </c>
      <c r="G42" s="331">
        <f>AVERAGE(G38:G41)</f>
        <v>6809984.7082224144</v>
      </c>
      <c r="H42" s="332"/>
    </row>
    <row r="43" spans="1:14" ht="26.25" customHeight="1" x14ac:dyDescent="0.4">
      <c r="A43" s="306" t="s">
        <v>71</v>
      </c>
      <c r="B43" s="307">
        <v>1</v>
      </c>
      <c r="C43" s="333" t="s">
        <v>72</v>
      </c>
      <c r="D43" s="334">
        <v>10.75</v>
      </c>
      <c r="E43" s="322"/>
      <c r="F43" s="334">
        <v>10.72</v>
      </c>
      <c r="H43" s="332"/>
    </row>
    <row r="44" spans="1:14" ht="26.25" customHeight="1" x14ac:dyDescent="0.4">
      <c r="A44" s="306" t="s">
        <v>73</v>
      </c>
      <c r="B44" s="307">
        <v>1</v>
      </c>
      <c r="C44" s="335" t="s">
        <v>74</v>
      </c>
      <c r="D44" s="336">
        <f>D43*$B$34</f>
        <v>10.75</v>
      </c>
      <c r="E44" s="337"/>
      <c r="F44" s="336">
        <f>F43*$B$34</f>
        <v>10.72</v>
      </c>
      <c r="H44" s="332"/>
    </row>
    <row r="45" spans="1:14" ht="19.5" customHeight="1" x14ac:dyDescent="0.3">
      <c r="A45" s="306" t="s">
        <v>75</v>
      </c>
      <c r="B45" s="338">
        <f>(B44/B43)*(B42/B41)*(B40/B39)*(B38/B37)*B36</f>
        <v>500</v>
      </c>
      <c r="C45" s="335" t="s">
        <v>76</v>
      </c>
      <c r="D45" s="339">
        <f>D44*$B$30/100</f>
        <v>10.728499999999999</v>
      </c>
      <c r="E45" s="340"/>
      <c r="F45" s="339">
        <f>F44*$B$30/100</f>
        <v>10.698560000000001</v>
      </c>
      <c r="H45" s="332"/>
    </row>
    <row r="46" spans="1:14" ht="19.5" customHeight="1" x14ac:dyDescent="0.3">
      <c r="A46" s="490" t="s">
        <v>77</v>
      </c>
      <c r="B46" s="491"/>
      <c r="C46" s="335" t="s">
        <v>78</v>
      </c>
      <c r="D46" s="341">
        <f>D45/$B$45</f>
        <v>2.1456999999999997E-2</v>
      </c>
      <c r="E46" s="342"/>
      <c r="F46" s="343">
        <f>F45/$B$45</f>
        <v>2.1397120000000002E-2</v>
      </c>
      <c r="H46" s="332"/>
    </row>
    <row r="47" spans="1:14" ht="27" customHeight="1" x14ac:dyDescent="0.4">
      <c r="A47" s="492"/>
      <c r="B47" s="493"/>
      <c r="C47" s="344" t="s">
        <v>79</v>
      </c>
      <c r="D47" s="345">
        <v>0.02</v>
      </c>
      <c r="E47" s="346"/>
      <c r="F47" s="342"/>
      <c r="H47" s="332"/>
    </row>
    <row r="48" spans="1:14" ht="18.75" x14ac:dyDescent="0.3">
      <c r="C48" s="347" t="s">
        <v>80</v>
      </c>
      <c r="D48" s="339">
        <f>D47*$B$45</f>
        <v>10</v>
      </c>
      <c r="F48" s="348"/>
      <c r="H48" s="332"/>
    </row>
    <row r="49" spans="1:12" ht="19.5" customHeight="1" x14ac:dyDescent="0.3">
      <c r="C49" s="349" t="s">
        <v>81</v>
      </c>
      <c r="D49" s="350">
        <f>D48/B34</f>
        <v>10</v>
      </c>
      <c r="F49" s="348"/>
      <c r="H49" s="332"/>
    </row>
    <row r="50" spans="1:12" ht="18.75" x14ac:dyDescent="0.3">
      <c r="C50" s="304" t="s">
        <v>82</v>
      </c>
      <c r="D50" s="351">
        <f>AVERAGE(E38:E41,G38:G41)</f>
        <v>6916791.1454924196</v>
      </c>
      <c r="F50" s="352"/>
      <c r="H50" s="332"/>
    </row>
    <row r="51" spans="1:12" ht="18.75" x14ac:dyDescent="0.3">
      <c r="C51" s="306" t="s">
        <v>83</v>
      </c>
      <c r="D51" s="353">
        <f>STDEV(E38:E41,G38:G41)/D50</f>
        <v>1.8270511377744419E-2</v>
      </c>
      <c r="F51" s="352"/>
      <c r="H51" s="332"/>
    </row>
    <row r="52" spans="1:12" ht="19.5" customHeight="1" x14ac:dyDescent="0.3">
      <c r="C52" s="354" t="s">
        <v>20</v>
      </c>
      <c r="D52" s="355">
        <f>COUNT(E38:E41,G38:G41)</f>
        <v>6</v>
      </c>
      <c r="F52" s="352"/>
    </row>
    <row r="54" spans="1:12" ht="18.75" x14ac:dyDescent="0.3">
      <c r="A54" s="356" t="s">
        <v>1</v>
      </c>
      <c r="B54" s="357" t="s">
        <v>84</v>
      </c>
    </row>
    <row r="55" spans="1:12" ht="18.75" x14ac:dyDescent="0.3">
      <c r="A55" s="281" t="s">
        <v>85</v>
      </c>
      <c r="B55" s="358" t="str">
        <f>B21</f>
        <v>sulfadoxine USP 500mg pyrimethamine USP 25mg</v>
      </c>
    </row>
    <row r="56" spans="1:12" ht="26.25" customHeight="1" x14ac:dyDescent="0.4">
      <c r="A56" s="359" t="s">
        <v>86</v>
      </c>
      <c r="B56" s="360">
        <v>25</v>
      </c>
      <c r="C56" s="281" t="str">
        <f>B20</f>
        <v xml:space="preserve">Pyrimethamine </v>
      </c>
      <c r="H56" s="361"/>
    </row>
    <row r="57" spans="1:12" ht="18.75" x14ac:dyDescent="0.3">
      <c r="A57" s="358" t="s">
        <v>87</v>
      </c>
      <c r="B57" s="449">
        <f>Uniformity!C46</f>
        <v>594.69299999999998</v>
      </c>
      <c r="H57" s="361"/>
    </row>
    <row r="58" spans="1:12" ht="19.5" customHeight="1" x14ac:dyDescent="0.3">
      <c r="H58" s="361"/>
    </row>
    <row r="59" spans="1:12" s="14" customFormat="1" ht="27" customHeight="1" thickBot="1" x14ac:dyDescent="0.45">
      <c r="A59" s="304" t="s">
        <v>88</v>
      </c>
      <c r="B59" s="305">
        <v>100</v>
      </c>
      <c r="C59" s="281"/>
      <c r="D59" s="362" t="s">
        <v>89</v>
      </c>
      <c r="E59" s="363" t="s">
        <v>61</v>
      </c>
      <c r="F59" s="363" t="s">
        <v>62</v>
      </c>
      <c r="G59" s="363" t="s">
        <v>90</v>
      </c>
      <c r="H59" s="308" t="s">
        <v>91</v>
      </c>
      <c r="L59" s="294"/>
    </row>
    <row r="60" spans="1:12" s="14" customFormat="1" ht="26.25" customHeight="1" x14ac:dyDescent="0.4">
      <c r="A60" s="306" t="s">
        <v>92</v>
      </c>
      <c r="B60" s="307">
        <v>4</v>
      </c>
      <c r="C60" s="494" t="s">
        <v>93</v>
      </c>
      <c r="D60" s="497">
        <v>562.91999999999996</v>
      </c>
      <c r="E60" s="364">
        <v>1</v>
      </c>
      <c r="F60" s="365">
        <v>6456478</v>
      </c>
      <c r="G60" s="450">
        <f>IF(ISBLANK(F60),"-",(F60/$D$50*$D$47*$B$68)*($B$57/$D$60))</f>
        <v>24.653419718424455</v>
      </c>
      <c r="H60" s="366">
        <f t="shared" ref="H60:H71" si="0">IF(ISBLANK(F60),"-",G60/$B$56)</f>
        <v>0.98613678873697819</v>
      </c>
      <c r="L60" s="294"/>
    </row>
    <row r="61" spans="1:12" s="14" customFormat="1" ht="26.25" customHeight="1" x14ac:dyDescent="0.4">
      <c r="A61" s="306" t="s">
        <v>94</v>
      </c>
      <c r="B61" s="307">
        <v>50</v>
      </c>
      <c r="C61" s="495"/>
      <c r="D61" s="498"/>
      <c r="E61" s="367">
        <v>2</v>
      </c>
      <c r="F61" s="319">
        <v>6476394</v>
      </c>
      <c r="G61" s="451">
        <f>IF(ISBLANK(F61),"-",(F61/$D$50*$D$47*$B$68)*($B$57/$D$60))</f>
        <v>24.72946698554318</v>
      </c>
      <c r="H61" s="368">
        <f t="shared" si="0"/>
        <v>0.98917867942172721</v>
      </c>
      <c r="L61" s="294"/>
    </row>
    <row r="62" spans="1:12" s="14" customFormat="1" ht="26.25" customHeight="1" x14ac:dyDescent="0.4">
      <c r="A62" s="306" t="s">
        <v>95</v>
      </c>
      <c r="B62" s="307">
        <v>1</v>
      </c>
      <c r="C62" s="495"/>
      <c r="D62" s="498"/>
      <c r="E62" s="367">
        <v>3</v>
      </c>
      <c r="F62" s="319">
        <v>6427497</v>
      </c>
      <c r="G62" s="451">
        <f>IF(ISBLANK(F62),"-",(F62/$D$50*$D$47*$B$68)*($B$57/$D$60))</f>
        <v>24.542758649516664</v>
      </c>
      <c r="H62" s="368">
        <f t="shared" si="0"/>
        <v>0.98171034598066653</v>
      </c>
      <c r="L62" s="294"/>
    </row>
    <row r="63" spans="1:12" ht="27" customHeight="1" thickBot="1" x14ac:dyDescent="0.45">
      <c r="A63" s="306" t="s">
        <v>96</v>
      </c>
      <c r="B63" s="307">
        <v>1</v>
      </c>
      <c r="C63" s="496"/>
      <c r="D63" s="499"/>
      <c r="E63" s="369">
        <v>4</v>
      </c>
      <c r="F63" s="370"/>
      <c r="G63" s="451" t="str">
        <f>IF(ISBLANK(F63),"-",(F63/$D$50*$D$47*$B$68)*($B$57/$D$60))</f>
        <v>-</v>
      </c>
      <c r="H63" s="368" t="str">
        <f t="shared" si="0"/>
        <v>-</v>
      </c>
    </row>
    <row r="64" spans="1:12" ht="26.25" customHeight="1" thickBot="1" x14ac:dyDescent="0.45">
      <c r="A64" s="306" t="s">
        <v>97</v>
      </c>
      <c r="B64" s="307">
        <v>1</v>
      </c>
      <c r="C64" s="494" t="s">
        <v>98</v>
      </c>
      <c r="D64" s="497">
        <v>575.04</v>
      </c>
      <c r="E64" s="364">
        <v>1</v>
      </c>
      <c r="F64" s="365">
        <v>6577239</v>
      </c>
      <c r="G64" s="452">
        <f>IF(ISBLANK(F64),"-",(F64/$D$50*$D$47*$B$68)*($B$57/$D$64))</f>
        <v>24.585199730375265</v>
      </c>
      <c r="H64" s="371">
        <f t="shared" si="0"/>
        <v>0.9834079892150106</v>
      </c>
    </row>
    <row r="65" spans="1:8" ht="26.25" customHeight="1" x14ac:dyDescent="0.4">
      <c r="A65" s="306" t="s">
        <v>99</v>
      </c>
      <c r="B65" s="307">
        <v>1</v>
      </c>
      <c r="C65" s="495"/>
      <c r="D65" s="498"/>
      <c r="E65" s="367">
        <v>2</v>
      </c>
      <c r="F65" s="365">
        <v>6565664</v>
      </c>
      <c r="G65" s="453">
        <f>IF(ISBLANK(F65),"-",(F65/$D$50*$D$47*$B$68)*($B$57/$D$64))</f>
        <v>24.541933294887812</v>
      </c>
      <c r="H65" s="372">
        <f t="shared" si="0"/>
        <v>0.98167733179551253</v>
      </c>
    </row>
    <row r="66" spans="1:8" ht="26.25" customHeight="1" x14ac:dyDescent="0.4">
      <c r="A66" s="306" t="s">
        <v>100</v>
      </c>
      <c r="B66" s="307">
        <v>1</v>
      </c>
      <c r="C66" s="495"/>
      <c r="D66" s="498"/>
      <c r="E66" s="367">
        <v>3</v>
      </c>
      <c r="F66" s="319">
        <v>6727136</v>
      </c>
      <c r="G66" s="453">
        <f>IF(ISBLANK(F66),"-",(F66/$D$50*$D$47*$B$68)*($B$57/$D$64))</f>
        <v>25.145502873378597</v>
      </c>
      <c r="H66" s="372">
        <f t="shared" si="0"/>
        <v>1.0058201149351438</v>
      </c>
    </row>
    <row r="67" spans="1:8" ht="27" customHeight="1" thickBot="1" x14ac:dyDescent="0.45">
      <c r="A67" s="306" t="s">
        <v>101</v>
      </c>
      <c r="B67" s="307">
        <v>1</v>
      </c>
      <c r="C67" s="496"/>
      <c r="D67" s="499"/>
      <c r="E67" s="369">
        <v>4</v>
      </c>
      <c r="F67" s="370"/>
      <c r="G67" s="454" t="str">
        <f>IF(ISBLANK(F67),"-",(F67/$D$50*$D$47*$B$68)*($B$57/$D$64))</f>
        <v>-</v>
      </c>
      <c r="H67" s="373" t="str">
        <f t="shared" si="0"/>
        <v>-</v>
      </c>
    </row>
    <row r="68" spans="1:8" ht="26.25" customHeight="1" x14ac:dyDescent="0.4">
      <c r="A68" s="306" t="s">
        <v>102</v>
      </c>
      <c r="B68" s="374">
        <f>(B67/B66)*(B65/B64)*(B63/B62)*(B61/B60)*B59</f>
        <v>1250</v>
      </c>
      <c r="C68" s="494" t="s">
        <v>103</v>
      </c>
      <c r="D68" s="497">
        <v>600.13</v>
      </c>
      <c r="E68" s="364">
        <v>1</v>
      </c>
      <c r="F68" s="365">
        <v>6926575</v>
      </c>
      <c r="G68" s="452">
        <f>IF(ISBLANK(F68),"-",(F68/$D$50*$D$47*$B$68)*($B$57/$D$68))</f>
        <v>24.808549724330952</v>
      </c>
      <c r="H68" s="368">
        <f t="shared" si="0"/>
        <v>0.99234198897323811</v>
      </c>
    </row>
    <row r="69" spans="1:8" ht="27" customHeight="1" thickBot="1" x14ac:dyDescent="0.45">
      <c r="A69" s="354" t="s">
        <v>104</v>
      </c>
      <c r="B69" s="375">
        <f>(D47*B68)/B56*B57</f>
        <v>594.69299999999998</v>
      </c>
      <c r="C69" s="495"/>
      <c r="D69" s="498"/>
      <c r="E69" s="367">
        <v>2</v>
      </c>
      <c r="F69" s="319">
        <v>6751598</v>
      </c>
      <c r="G69" s="453">
        <f>IF(ISBLANK(F69),"-",(F69/$D$50*$D$47*$B$68)*($B$57/$D$68))</f>
        <v>24.181843797503593</v>
      </c>
      <c r="H69" s="368">
        <f t="shared" si="0"/>
        <v>0.96727375190014375</v>
      </c>
    </row>
    <row r="70" spans="1:8" ht="26.25" customHeight="1" x14ac:dyDescent="0.4">
      <c r="A70" s="507" t="s">
        <v>77</v>
      </c>
      <c r="B70" s="508"/>
      <c r="C70" s="495"/>
      <c r="D70" s="498"/>
      <c r="E70" s="367">
        <v>3</v>
      </c>
      <c r="F70" s="319">
        <v>7041754</v>
      </c>
      <c r="G70" s="453">
        <f>IF(ISBLANK(F70),"-",(F70/$D$50*$D$47*$B$68)*($B$57/$D$68))</f>
        <v>25.221080296612161</v>
      </c>
      <c r="H70" s="368">
        <f t="shared" si="0"/>
        <v>1.0088432118644866</v>
      </c>
    </row>
    <row r="71" spans="1:8" ht="27" customHeight="1" thickBot="1" x14ac:dyDescent="0.45">
      <c r="A71" s="509"/>
      <c r="B71" s="510"/>
      <c r="C71" s="506"/>
      <c r="D71" s="499"/>
      <c r="E71" s="369">
        <v>4</v>
      </c>
      <c r="F71" s="370"/>
      <c r="G71" s="454" t="str">
        <f>IF(ISBLANK(F71),"-",(F71/$D$50*$D$47*$B$68)*($B$57/$D$68))</f>
        <v>-</v>
      </c>
      <c r="H71" s="376" t="str">
        <f t="shared" si="0"/>
        <v>-</v>
      </c>
    </row>
    <row r="72" spans="1:8" ht="26.25" customHeight="1" x14ac:dyDescent="0.4">
      <c r="A72" s="377"/>
      <c r="B72" s="377"/>
      <c r="C72" s="377"/>
      <c r="D72" s="377"/>
      <c r="E72" s="377"/>
      <c r="F72" s="379" t="s">
        <v>70</v>
      </c>
      <c r="G72" s="459">
        <f>AVERAGE(G60:G71)</f>
        <v>24.712195007841412</v>
      </c>
      <c r="H72" s="380">
        <f>AVERAGE(H60:H71)</f>
        <v>0.98848780031365635</v>
      </c>
    </row>
    <row r="73" spans="1:8" ht="26.25" customHeight="1" x14ac:dyDescent="0.4">
      <c r="C73" s="377"/>
      <c r="D73" s="377"/>
      <c r="E73" s="377"/>
      <c r="F73" s="381" t="s">
        <v>83</v>
      </c>
      <c r="G73" s="455">
        <f>STDEV(G60:G71)/G72</f>
        <v>1.2914685746689841E-2</v>
      </c>
      <c r="H73" s="455">
        <f>STDEV(H60:H71)/H72</f>
        <v>1.2914685746689842E-2</v>
      </c>
    </row>
    <row r="74" spans="1:8" ht="27" customHeight="1" x14ac:dyDescent="0.4">
      <c r="A74" s="377"/>
      <c r="B74" s="377"/>
      <c r="C74" s="378"/>
      <c r="D74" s="378"/>
      <c r="E74" s="382"/>
      <c r="F74" s="383" t="s">
        <v>20</v>
      </c>
      <c r="G74" s="384">
        <f>COUNT(G60:G71)</f>
        <v>9</v>
      </c>
      <c r="H74" s="384">
        <f>COUNT(H60:H71)</f>
        <v>9</v>
      </c>
    </row>
    <row r="76" spans="1:8" ht="26.25" customHeight="1" x14ac:dyDescent="0.4">
      <c r="A76" s="290" t="s">
        <v>105</v>
      </c>
      <c r="B76" s="385" t="s">
        <v>106</v>
      </c>
      <c r="C76" s="502" t="str">
        <f>B20</f>
        <v xml:space="preserve">Pyrimethamine </v>
      </c>
      <c r="D76" s="502"/>
      <c r="E76" s="386" t="s">
        <v>107</v>
      </c>
      <c r="F76" s="386"/>
      <c r="G76" s="387">
        <f>H72</f>
        <v>0.98848780031365635</v>
      </c>
      <c r="H76" s="388"/>
    </row>
    <row r="77" spans="1:8" ht="18.75" x14ac:dyDescent="0.3">
      <c r="A77" s="289" t="s">
        <v>108</v>
      </c>
      <c r="B77" s="289" t="s">
        <v>109</v>
      </c>
    </row>
    <row r="78" spans="1:8" ht="18.75" x14ac:dyDescent="0.3">
      <c r="A78" s="289"/>
      <c r="B78" s="289"/>
    </row>
    <row r="79" spans="1:8" ht="26.25" customHeight="1" x14ac:dyDescent="0.4">
      <c r="A79" s="290" t="s">
        <v>4</v>
      </c>
      <c r="B79" s="488" t="str">
        <f>B26</f>
        <v>Pyrimethamine</v>
      </c>
      <c r="C79" s="488"/>
    </row>
    <row r="80" spans="1:8" ht="26.25" customHeight="1" x14ac:dyDescent="0.4">
      <c r="A80" s="291" t="s">
        <v>47</v>
      </c>
      <c r="B80" s="488" t="str">
        <f>B27</f>
        <v>NQCL-PRS-P21-1</v>
      </c>
      <c r="C80" s="488"/>
    </row>
    <row r="81" spans="1:12" ht="27" customHeight="1" x14ac:dyDescent="0.4">
      <c r="A81" s="291" t="s">
        <v>6</v>
      </c>
      <c r="B81" s="389">
        <f>B28</f>
        <v>99.8</v>
      </c>
    </row>
    <row r="82" spans="1:12" s="14" customFormat="1" ht="27" customHeight="1" x14ac:dyDescent="0.4">
      <c r="A82" s="291" t="s">
        <v>48</v>
      </c>
      <c r="B82" s="293">
        <v>0</v>
      </c>
      <c r="C82" s="479" t="s">
        <v>49</v>
      </c>
      <c r="D82" s="480"/>
      <c r="E82" s="480"/>
      <c r="F82" s="480"/>
      <c r="G82" s="481"/>
      <c r="I82" s="294"/>
      <c r="J82" s="294"/>
      <c r="K82" s="294"/>
      <c r="L82" s="294"/>
    </row>
    <row r="83" spans="1:12" s="14" customFormat="1" ht="19.5" customHeight="1" x14ac:dyDescent="0.3">
      <c r="A83" s="291" t="s">
        <v>50</v>
      </c>
      <c r="B83" s="295">
        <f>B81-B82</f>
        <v>99.8</v>
      </c>
      <c r="C83" s="296"/>
      <c r="D83" s="296"/>
      <c r="E83" s="296"/>
      <c r="F83" s="296"/>
      <c r="G83" s="297"/>
      <c r="I83" s="294"/>
      <c r="J83" s="294"/>
      <c r="K83" s="294"/>
      <c r="L83" s="294"/>
    </row>
    <row r="84" spans="1:12" s="14" customFormat="1" ht="27" customHeight="1" x14ac:dyDescent="0.4">
      <c r="A84" s="291" t="s">
        <v>51</v>
      </c>
      <c r="B84" s="298">
        <v>1</v>
      </c>
      <c r="C84" s="482" t="s">
        <v>110</v>
      </c>
      <c r="D84" s="483"/>
      <c r="E84" s="483"/>
      <c r="F84" s="483"/>
      <c r="G84" s="483"/>
      <c r="H84" s="484"/>
      <c r="I84" s="294"/>
      <c r="J84" s="294"/>
      <c r="K84" s="294"/>
      <c r="L84" s="294"/>
    </row>
    <row r="85" spans="1:12" s="14" customFormat="1" ht="27" customHeight="1" x14ac:dyDescent="0.4">
      <c r="A85" s="291" t="s">
        <v>53</v>
      </c>
      <c r="B85" s="298">
        <v>1</v>
      </c>
      <c r="C85" s="482" t="s">
        <v>111</v>
      </c>
      <c r="D85" s="483"/>
      <c r="E85" s="483"/>
      <c r="F85" s="483"/>
      <c r="G85" s="483"/>
      <c r="H85" s="484"/>
      <c r="I85" s="294"/>
      <c r="J85" s="294"/>
      <c r="K85" s="294"/>
      <c r="L85" s="294"/>
    </row>
    <row r="86" spans="1:12" s="14" customFormat="1" ht="18.75" x14ac:dyDescent="0.3">
      <c r="A86" s="291"/>
      <c r="B86" s="301"/>
      <c r="C86" s="302"/>
      <c r="D86" s="302"/>
      <c r="E86" s="302"/>
      <c r="F86" s="302"/>
      <c r="G86" s="302"/>
      <c r="H86" s="302"/>
      <c r="I86" s="294"/>
      <c r="J86" s="294"/>
      <c r="K86" s="294"/>
      <c r="L86" s="294"/>
    </row>
    <row r="87" spans="1:12" s="14" customFormat="1" ht="18.75" x14ac:dyDescent="0.3">
      <c r="A87" s="291" t="s">
        <v>55</v>
      </c>
      <c r="B87" s="303">
        <f>B84/B85</f>
        <v>1</v>
      </c>
      <c r="C87" s="281" t="s">
        <v>56</v>
      </c>
      <c r="D87" s="281"/>
      <c r="E87" s="281"/>
      <c r="F87" s="281"/>
      <c r="G87" s="281"/>
      <c r="I87" s="294"/>
      <c r="J87" s="294"/>
      <c r="K87" s="294"/>
      <c r="L87" s="294"/>
    </row>
    <row r="88" spans="1:12" ht="19.5" customHeight="1" x14ac:dyDescent="0.3">
      <c r="A88" s="289"/>
      <c r="B88" s="289"/>
    </row>
    <row r="89" spans="1:12" ht="27" customHeight="1" x14ac:dyDescent="0.4">
      <c r="A89" s="304" t="s">
        <v>57</v>
      </c>
      <c r="B89" s="305">
        <v>50</v>
      </c>
      <c r="D89" s="390" t="s">
        <v>58</v>
      </c>
      <c r="E89" s="391"/>
      <c r="F89" s="485" t="s">
        <v>59</v>
      </c>
      <c r="G89" s="487"/>
    </row>
    <row r="90" spans="1:12" ht="27" customHeight="1" x14ac:dyDescent="0.4">
      <c r="A90" s="306" t="s">
        <v>60</v>
      </c>
      <c r="B90" s="307">
        <v>5</v>
      </c>
      <c r="C90" s="392" t="s">
        <v>61</v>
      </c>
      <c r="D90" s="309" t="s">
        <v>62</v>
      </c>
      <c r="E90" s="310" t="s">
        <v>63</v>
      </c>
      <c r="F90" s="309" t="s">
        <v>62</v>
      </c>
      <c r="G90" s="393" t="s">
        <v>63</v>
      </c>
      <c r="I90" s="312" t="s">
        <v>64</v>
      </c>
    </row>
    <row r="91" spans="1:12" ht="26.25" customHeight="1" x14ac:dyDescent="0.4">
      <c r="A91" s="306" t="s">
        <v>65</v>
      </c>
      <c r="B91" s="307">
        <v>50</v>
      </c>
      <c r="C91" s="394">
        <v>1</v>
      </c>
      <c r="D91" s="314">
        <v>7437014</v>
      </c>
      <c r="E91" s="315">
        <f>IF(ISBLANK(D91),"-",$D$101/$D$98*D91)</f>
        <v>8665020.7391527258</v>
      </c>
      <c r="F91" s="314">
        <v>7240044</v>
      </c>
      <c r="G91" s="316">
        <f>IF(ISBLANK(F91),"-",$D$101/$F$98*F91)</f>
        <v>8459133.7525797859</v>
      </c>
      <c r="I91" s="317"/>
    </row>
    <row r="92" spans="1:12" ht="26.25" customHeight="1" x14ac:dyDescent="0.4">
      <c r="A92" s="306" t="s">
        <v>66</v>
      </c>
      <c r="B92" s="307">
        <v>1</v>
      </c>
      <c r="C92" s="378">
        <v>2</v>
      </c>
      <c r="D92" s="319">
        <v>7418968</v>
      </c>
      <c r="E92" s="320">
        <f>IF(ISBLANK(D92),"-",$D$101/$D$98*D92)</f>
        <v>8643994.9666775428</v>
      </c>
      <c r="F92" s="319">
        <v>7245737</v>
      </c>
      <c r="G92" s="321">
        <f>IF(ISBLANK(F92),"-",$D$101/$F$98*F92)</f>
        <v>8465785.348682439</v>
      </c>
      <c r="I92" s="489">
        <f>ABS((F96/D96*D95)-F95)/D95</f>
        <v>2.0818118603277928E-2</v>
      </c>
    </row>
    <row r="93" spans="1:12" ht="26.25" customHeight="1" x14ac:dyDescent="0.4">
      <c r="A93" s="306" t="s">
        <v>67</v>
      </c>
      <c r="B93" s="307">
        <v>1</v>
      </c>
      <c r="C93" s="378">
        <v>3</v>
      </c>
      <c r="D93" s="319">
        <v>7423534</v>
      </c>
      <c r="E93" s="320">
        <f>IF(ISBLANK(D93),"-",$D$101/$D$98*D93)</f>
        <v>8649314.9088875428</v>
      </c>
      <c r="F93" s="319">
        <v>7267742</v>
      </c>
      <c r="G93" s="321">
        <f>IF(ISBLANK(F93),"-",$D$101/$F$98*F93)</f>
        <v>8491495.5844524875</v>
      </c>
      <c r="I93" s="489"/>
    </row>
    <row r="94" spans="1:12" ht="27" customHeight="1" x14ac:dyDescent="0.4">
      <c r="A94" s="306" t="s">
        <v>68</v>
      </c>
      <c r="B94" s="307">
        <v>1</v>
      </c>
      <c r="C94" s="395">
        <v>4</v>
      </c>
      <c r="D94" s="324"/>
      <c r="E94" s="325" t="str">
        <f>IF(ISBLANK(D94),"-",$D$101/$D$98*D94)</f>
        <v>-</v>
      </c>
      <c r="F94" s="396"/>
      <c r="G94" s="326" t="str">
        <f>IF(ISBLANK(F94),"-",$D$101/$F$98*F94)</f>
        <v>-</v>
      </c>
      <c r="I94" s="327"/>
    </row>
    <row r="95" spans="1:12" ht="27" customHeight="1" x14ac:dyDescent="0.4">
      <c r="A95" s="306" t="s">
        <v>69</v>
      </c>
      <c r="B95" s="307">
        <v>1</v>
      </c>
      <c r="C95" s="397" t="s">
        <v>70</v>
      </c>
      <c r="D95" s="398">
        <f>AVERAGE(D91:D94)</f>
        <v>7426505.333333333</v>
      </c>
      <c r="E95" s="330">
        <f>AVERAGE(E91:E94)</f>
        <v>8652776.8715726044</v>
      </c>
      <c r="F95" s="399">
        <f>AVERAGE(F91:F94)</f>
        <v>7251174.333333333</v>
      </c>
      <c r="G95" s="400">
        <f>AVERAGE(G91:G94)</f>
        <v>8472138.2285715714</v>
      </c>
    </row>
    <row r="96" spans="1:12" ht="26.25" customHeight="1" x14ac:dyDescent="0.4">
      <c r="A96" s="306" t="s">
        <v>71</v>
      </c>
      <c r="B96" s="292">
        <v>1</v>
      </c>
      <c r="C96" s="401" t="s">
        <v>112</v>
      </c>
      <c r="D96" s="402">
        <v>10.75</v>
      </c>
      <c r="E96" s="322"/>
      <c r="F96" s="334">
        <v>10.72</v>
      </c>
    </row>
    <row r="97" spans="1:10" ht="26.25" customHeight="1" x14ac:dyDescent="0.4">
      <c r="A97" s="306" t="s">
        <v>73</v>
      </c>
      <c r="B97" s="292">
        <v>1</v>
      </c>
      <c r="C97" s="403" t="s">
        <v>113</v>
      </c>
      <c r="D97" s="404">
        <f>D96*$B$87</f>
        <v>10.75</v>
      </c>
      <c r="E97" s="337"/>
      <c r="F97" s="336">
        <f>F96*$B$87</f>
        <v>10.72</v>
      </c>
    </row>
    <row r="98" spans="1:10" ht="19.5" customHeight="1" x14ac:dyDescent="0.3">
      <c r="A98" s="306" t="s">
        <v>75</v>
      </c>
      <c r="B98" s="405">
        <f>(B97/B96)*(B95/B94)*(B93/B92)*(B91/B90)*B89</f>
        <v>500</v>
      </c>
      <c r="C98" s="403" t="s">
        <v>114</v>
      </c>
      <c r="D98" s="406">
        <f>D97*$B$83/100</f>
        <v>10.728499999999999</v>
      </c>
      <c r="E98" s="340"/>
      <c r="F98" s="339">
        <f>F97*$B$83/100</f>
        <v>10.698560000000001</v>
      </c>
    </row>
    <row r="99" spans="1:10" ht="19.5" customHeight="1" x14ac:dyDescent="0.3">
      <c r="A99" s="490" t="s">
        <v>77</v>
      </c>
      <c r="B99" s="504"/>
      <c r="C99" s="403" t="s">
        <v>115</v>
      </c>
      <c r="D99" s="407">
        <f>D98/$B$98</f>
        <v>2.1456999999999997E-2</v>
      </c>
      <c r="E99" s="340"/>
      <c r="F99" s="343">
        <f>F98/$B$98</f>
        <v>2.1397120000000002E-2</v>
      </c>
      <c r="G99" s="408"/>
      <c r="H99" s="332"/>
    </row>
    <row r="100" spans="1:10" ht="19.5" customHeight="1" x14ac:dyDescent="0.3">
      <c r="A100" s="492"/>
      <c r="B100" s="505"/>
      <c r="C100" s="403" t="s">
        <v>79</v>
      </c>
      <c r="D100" s="409">
        <f>$B$56/$B$116</f>
        <v>2.5000000000000001E-2</v>
      </c>
      <c r="F100" s="348"/>
      <c r="G100" s="410"/>
      <c r="H100" s="332"/>
    </row>
    <row r="101" spans="1:10" ht="18.75" x14ac:dyDescent="0.3">
      <c r="C101" s="403" t="s">
        <v>80</v>
      </c>
      <c r="D101" s="404">
        <f>D100*$B$98</f>
        <v>12.5</v>
      </c>
      <c r="F101" s="348"/>
      <c r="G101" s="408"/>
      <c r="H101" s="332"/>
    </row>
    <row r="102" spans="1:10" ht="19.5" customHeight="1" x14ac:dyDescent="0.3">
      <c r="C102" s="411" t="s">
        <v>81</v>
      </c>
      <c r="D102" s="412">
        <f>D101/B34</f>
        <v>12.5</v>
      </c>
      <c r="F102" s="352"/>
      <c r="G102" s="408"/>
      <c r="H102" s="332"/>
      <c r="J102" s="413"/>
    </row>
    <row r="103" spans="1:10" ht="18.75" x14ac:dyDescent="0.3">
      <c r="C103" s="414" t="s">
        <v>116</v>
      </c>
      <c r="D103" s="415">
        <f>AVERAGE(E91:E94,G91:G94)</f>
        <v>8562457.550072087</v>
      </c>
      <c r="F103" s="352"/>
      <c r="G103" s="416"/>
      <c r="H103" s="332"/>
      <c r="J103" s="417"/>
    </row>
    <row r="104" spans="1:10" ht="18.75" x14ac:dyDescent="0.3">
      <c r="C104" s="381" t="s">
        <v>83</v>
      </c>
      <c r="D104" s="418">
        <f>STDEV(E91:E94,G91:G94)/D103</f>
        <v>1.1651843213172652E-2</v>
      </c>
      <c r="F104" s="352"/>
      <c r="G104" s="408"/>
      <c r="H104" s="332"/>
      <c r="J104" s="417"/>
    </row>
    <row r="105" spans="1:10" ht="19.5" customHeight="1" x14ac:dyDescent="0.3">
      <c r="C105" s="383" t="s">
        <v>20</v>
      </c>
      <c r="D105" s="419">
        <f>COUNT(E91:E94,G91:G94)</f>
        <v>6</v>
      </c>
      <c r="F105" s="352"/>
      <c r="G105" s="408"/>
      <c r="H105" s="332"/>
      <c r="J105" s="417"/>
    </row>
    <row r="106" spans="1:10" ht="19.5" customHeight="1" x14ac:dyDescent="0.3">
      <c r="A106" s="356"/>
      <c r="B106" s="356"/>
      <c r="C106" s="356"/>
      <c r="D106" s="356"/>
      <c r="E106" s="356"/>
    </row>
    <row r="107" spans="1:10" ht="26.25" customHeight="1" x14ac:dyDescent="0.4">
      <c r="A107" s="304" t="s">
        <v>117</v>
      </c>
      <c r="B107" s="305">
        <v>1000</v>
      </c>
      <c r="C107" s="420" t="s">
        <v>118</v>
      </c>
      <c r="D107" s="421" t="s">
        <v>62</v>
      </c>
      <c r="E107" s="422" t="s">
        <v>119</v>
      </c>
      <c r="F107" s="423" t="s">
        <v>120</v>
      </c>
    </row>
    <row r="108" spans="1:10" ht="26.25" customHeight="1" x14ac:dyDescent="0.4">
      <c r="A108" s="306" t="s">
        <v>121</v>
      </c>
      <c r="B108" s="307">
        <v>1</v>
      </c>
      <c r="C108" s="424">
        <v>1</v>
      </c>
      <c r="D108" s="425">
        <v>7876916</v>
      </c>
      <c r="E108" s="456">
        <f t="shared" ref="E108:E113" si="1">IF(ISBLANK(D108),"-",D108/$D$103*$D$100*$B$116)</f>
        <v>22.998408908706605</v>
      </c>
      <c r="F108" s="426">
        <f t="shared" ref="F108:F113" si="2">IF(ISBLANK(D108), "-", E108/$B$56)</f>
        <v>0.91993635634826421</v>
      </c>
    </row>
    <row r="109" spans="1:10" ht="26.25" customHeight="1" x14ac:dyDescent="0.4">
      <c r="A109" s="306" t="s">
        <v>94</v>
      </c>
      <c r="B109" s="307">
        <v>1</v>
      </c>
      <c r="C109" s="424">
        <v>2</v>
      </c>
      <c r="D109" s="425">
        <v>7168119</v>
      </c>
      <c r="E109" s="457">
        <f t="shared" si="1"/>
        <v>20.928918356913933</v>
      </c>
      <c r="F109" s="427">
        <f t="shared" si="2"/>
        <v>0.83715673427655735</v>
      </c>
    </row>
    <row r="110" spans="1:10" ht="26.25" customHeight="1" x14ac:dyDescent="0.4">
      <c r="A110" s="306" t="s">
        <v>95</v>
      </c>
      <c r="B110" s="307">
        <v>1</v>
      </c>
      <c r="C110" s="424">
        <v>3</v>
      </c>
      <c r="D110" s="425">
        <v>8402619</v>
      </c>
      <c r="E110" s="457">
        <f t="shared" si="1"/>
        <v>24.533315788319616</v>
      </c>
      <c r="F110" s="427">
        <f t="shared" si="2"/>
        <v>0.9813326315327846</v>
      </c>
    </row>
    <row r="111" spans="1:10" ht="26.25" customHeight="1" x14ac:dyDescent="0.4">
      <c r="A111" s="306" t="s">
        <v>96</v>
      </c>
      <c r="B111" s="307">
        <v>1</v>
      </c>
      <c r="C111" s="424">
        <v>4</v>
      </c>
      <c r="D111" s="425">
        <v>8112642</v>
      </c>
      <c r="E111" s="457">
        <f t="shared" si="1"/>
        <v>23.686663415726077</v>
      </c>
      <c r="F111" s="427">
        <f t="shared" si="2"/>
        <v>0.94746653662904312</v>
      </c>
    </row>
    <row r="112" spans="1:10" ht="26.25" customHeight="1" x14ac:dyDescent="0.4">
      <c r="A112" s="306" t="s">
        <v>97</v>
      </c>
      <c r="B112" s="307">
        <v>1</v>
      </c>
      <c r="C112" s="424">
        <v>5</v>
      </c>
      <c r="D112" s="425">
        <v>8116843</v>
      </c>
      <c r="E112" s="457">
        <f t="shared" si="1"/>
        <v>23.698929169966117</v>
      </c>
      <c r="F112" s="427">
        <f t="shared" si="2"/>
        <v>0.94795716679864472</v>
      </c>
    </row>
    <row r="113" spans="1:10" ht="26.25" customHeight="1" x14ac:dyDescent="0.4">
      <c r="A113" s="306" t="s">
        <v>99</v>
      </c>
      <c r="B113" s="307">
        <v>1</v>
      </c>
      <c r="C113" s="428">
        <v>6</v>
      </c>
      <c r="D113" s="429">
        <v>7218849</v>
      </c>
      <c r="E113" s="458">
        <f t="shared" si="1"/>
        <v>21.077035879550802</v>
      </c>
      <c r="F113" s="430">
        <f t="shared" si="2"/>
        <v>0.84308143518203205</v>
      </c>
    </row>
    <row r="114" spans="1:10" ht="26.25" customHeight="1" x14ac:dyDescent="0.4">
      <c r="A114" s="306" t="s">
        <v>100</v>
      </c>
      <c r="B114" s="307">
        <v>1</v>
      </c>
      <c r="C114" s="424"/>
      <c r="D114" s="378"/>
      <c r="E114" s="280"/>
      <c r="F114" s="431"/>
    </row>
    <row r="115" spans="1:10" ht="26.25" customHeight="1" x14ac:dyDescent="0.4">
      <c r="A115" s="306" t="s">
        <v>101</v>
      </c>
      <c r="B115" s="307">
        <v>1</v>
      </c>
      <c r="C115" s="424"/>
      <c r="D115" s="432" t="s">
        <v>70</v>
      </c>
      <c r="E115" s="460">
        <f>AVERAGE(E108:E113)</f>
        <v>22.820545253197192</v>
      </c>
      <c r="F115" s="433">
        <f>AVERAGE(F108:F113)</f>
        <v>0.91282181012788766</v>
      </c>
    </row>
    <row r="116" spans="1:10" ht="27" customHeight="1" x14ac:dyDescent="0.4">
      <c r="A116" s="306" t="s">
        <v>102</v>
      </c>
      <c r="B116" s="338">
        <f>(B115/B114)*(B113/B112)*(B111/B110)*(B109/B108)*B107</f>
        <v>1000</v>
      </c>
      <c r="C116" s="434"/>
      <c r="D116" s="397" t="s">
        <v>83</v>
      </c>
      <c r="E116" s="435">
        <f>STDEV(E108:E113)/E115</f>
        <v>6.5305317942664115E-2</v>
      </c>
      <c r="F116" s="435">
        <f>STDEV(F108:F113)/F115</f>
        <v>6.5305317942664115E-2</v>
      </c>
      <c r="I116" s="280"/>
    </row>
    <row r="117" spans="1:10" ht="27" customHeight="1" x14ac:dyDescent="0.4">
      <c r="A117" s="490" t="s">
        <v>77</v>
      </c>
      <c r="B117" s="491"/>
      <c r="C117" s="436"/>
      <c r="D117" s="437" t="s">
        <v>20</v>
      </c>
      <c r="E117" s="438">
        <f>COUNT(E108:E113)</f>
        <v>6</v>
      </c>
      <c r="F117" s="438">
        <f>COUNT(F108:F113)</f>
        <v>6</v>
      </c>
      <c r="I117" s="280"/>
      <c r="J117" s="417"/>
    </row>
    <row r="118" spans="1:10" ht="19.5" customHeight="1" x14ac:dyDescent="0.3">
      <c r="A118" s="492"/>
      <c r="B118" s="493"/>
      <c r="C118" s="280"/>
      <c r="D118" s="280"/>
      <c r="E118" s="280"/>
      <c r="F118" s="378"/>
      <c r="G118" s="280"/>
      <c r="H118" s="280"/>
      <c r="I118" s="280"/>
    </row>
    <row r="119" spans="1:10" ht="18.75" x14ac:dyDescent="0.3">
      <c r="A119" s="447"/>
      <c r="B119" s="302"/>
      <c r="C119" s="280"/>
      <c r="D119" s="280"/>
      <c r="E119" s="280"/>
      <c r="F119" s="378"/>
      <c r="G119" s="280"/>
      <c r="H119" s="280"/>
      <c r="I119" s="280"/>
    </row>
    <row r="120" spans="1:10" ht="26.25" customHeight="1" x14ac:dyDescent="0.4">
      <c r="A120" s="290" t="s">
        <v>105</v>
      </c>
      <c r="B120" s="385" t="s">
        <v>122</v>
      </c>
      <c r="C120" s="502" t="str">
        <f>B20</f>
        <v xml:space="preserve">Pyrimethamine </v>
      </c>
      <c r="D120" s="502"/>
      <c r="E120" s="386" t="s">
        <v>123</v>
      </c>
      <c r="F120" s="386"/>
      <c r="G120" s="387">
        <f>F115</f>
        <v>0.91282181012788766</v>
      </c>
      <c r="H120" s="280"/>
      <c r="I120" s="280"/>
    </row>
    <row r="121" spans="1:10" ht="19.5" customHeight="1" x14ac:dyDescent="0.3">
      <c r="A121" s="439"/>
      <c r="B121" s="439"/>
      <c r="C121" s="440"/>
      <c r="D121" s="440"/>
      <c r="E121" s="440"/>
      <c r="F121" s="440"/>
      <c r="G121" s="440"/>
      <c r="H121" s="440"/>
    </row>
    <row r="122" spans="1:10" ht="18.75" x14ac:dyDescent="0.3">
      <c r="B122" s="503" t="s">
        <v>25</v>
      </c>
      <c r="C122" s="503"/>
      <c r="E122" s="392" t="s">
        <v>26</v>
      </c>
      <c r="F122" s="441"/>
      <c r="G122" s="503" t="s">
        <v>27</v>
      </c>
      <c r="H122" s="503"/>
    </row>
    <row r="123" spans="1:10" ht="69.95" customHeight="1" x14ac:dyDescent="0.3">
      <c r="A123" s="442" t="s">
        <v>28</v>
      </c>
      <c r="B123" s="443"/>
      <c r="C123" s="443"/>
      <c r="E123" s="443"/>
      <c r="F123" s="280"/>
      <c r="G123" s="444"/>
      <c r="H123" s="444"/>
    </row>
    <row r="124" spans="1:10" ht="69.95" customHeight="1" x14ac:dyDescent="0.3">
      <c r="A124" s="442" t="s">
        <v>29</v>
      </c>
      <c r="B124" s="445"/>
      <c r="C124" s="445"/>
      <c r="E124" s="445"/>
      <c r="F124" s="280"/>
      <c r="G124" s="446"/>
      <c r="H124" s="446"/>
    </row>
    <row r="125" spans="1:10" ht="18.75" x14ac:dyDescent="0.3">
      <c r="A125" s="377"/>
      <c r="B125" s="377"/>
      <c r="C125" s="378"/>
      <c r="D125" s="378"/>
      <c r="E125" s="378"/>
      <c r="F125" s="382"/>
      <c r="G125" s="378"/>
      <c r="H125" s="378"/>
      <c r="I125" s="280"/>
    </row>
    <row r="126" spans="1:10" ht="18.75" x14ac:dyDescent="0.3">
      <c r="A126" s="377"/>
      <c r="B126" s="377"/>
      <c r="C126" s="378"/>
      <c r="D126" s="378"/>
      <c r="E126" s="378"/>
      <c r="F126" s="382"/>
      <c r="G126" s="378"/>
      <c r="H126" s="378"/>
      <c r="I126" s="280"/>
    </row>
    <row r="127" spans="1:10" ht="18.75" x14ac:dyDescent="0.3">
      <c r="A127" s="377"/>
      <c r="B127" s="377"/>
      <c r="C127" s="378"/>
      <c r="D127" s="378"/>
      <c r="E127" s="378"/>
      <c r="F127" s="382"/>
      <c r="G127" s="378"/>
      <c r="H127" s="378"/>
      <c r="I127" s="280"/>
    </row>
    <row r="128" spans="1:10" ht="18.75" x14ac:dyDescent="0.3">
      <c r="A128" s="377"/>
      <c r="B128" s="377"/>
      <c r="C128" s="378"/>
      <c r="D128" s="378"/>
      <c r="E128" s="378"/>
      <c r="F128" s="382"/>
      <c r="G128" s="378"/>
      <c r="H128" s="378"/>
      <c r="I128" s="280"/>
    </row>
    <row r="129" spans="1:9" ht="18.75" x14ac:dyDescent="0.3">
      <c r="A129" s="377"/>
      <c r="B129" s="377"/>
      <c r="C129" s="378"/>
      <c r="D129" s="378"/>
      <c r="E129" s="378"/>
      <c r="F129" s="382"/>
      <c r="G129" s="378"/>
      <c r="H129" s="378"/>
      <c r="I129" s="280"/>
    </row>
    <row r="130" spans="1:9" ht="18.75" x14ac:dyDescent="0.3">
      <c r="A130" s="377"/>
      <c r="B130" s="377"/>
      <c r="C130" s="378"/>
      <c r="D130" s="378"/>
      <c r="E130" s="378"/>
      <c r="F130" s="382"/>
      <c r="G130" s="378"/>
      <c r="H130" s="378"/>
      <c r="I130" s="280"/>
    </row>
    <row r="131" spans="1:9" ht="18.75" x14ac:dyDescent="0.3">
      <c r="A131" s="377"/>
      <c r="B131" s="377"/>
      <c r="C131" s="378"/>
      <c r="D131" s="378"/>
      <c r="E131" s="378"/>
      <c r="F131" s="382"/>
      <c r="G131" s="378"/>
      <c r="H131" s="378"/>
      <c r="I131" s="280"/>
    </row>
    <row r="132" spans="1:9" ht="18.75" x14ac:dyDescent="0.3">
      <c r="A132" s="377"/>
      <c r="B132" s="377"/>
      <c r="C132" s="378"/>
      <c r="D132" s="378"/>
      <c r="E132" s="378"/>
      <c r="F132" s="382"/>
      <c r="G132" s="378"/>
      <c r="H132" s="378"/>
      <c r="I132" s="280"/>
    </row>
    <row r="133" spans="1:9" ht="18.75" x14ac:dyDescent="0.3">
      <c r="A133" s="377"/>
      <c r="B133" s="377"/>
      <c r="C133" s="378"/>
      <c r="D133" s="378"/>
      <c r="E133" s="378"/>
      <c r="F133" s="382"/>
      <c r="G133" s="378"/>
      <c r="H133" s="378"/>
      <c r="I133" s="280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SST</vt:lpstr>
      <vt:lpstr>Uniformity</vt:lpstr>
      <vt:lpstr>sulphadoxine</vt:lpstr>
      <vt:lpstr>pyrimethamine</vt:lpstr>
      <vt:lpstr>pyrimethamine!Print_Area</vt:lpstr>
      <vt:lpstr>sulphadoxine!Print_Area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cp:lastPrinted>2015-11-11T06:12:23Z</cp:lastPrinted>
  <dcterms:created xsi:type="dcterms:W3CDTF">2005-07-05T10:19:27Z</dcterms:created>
  <dcterms:modified xsi:type="dcterms:W3CDTF">2015-11-11T06:12:43Z</dcterms:modified>
</cp:coreProperties>
</file>