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2"/>
  </bookViews>
  <sheets>
    <sheet name="SST" sheetId="7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Pyrimethamine!$A$1:$H$126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D68" i="4" l="1"/>
  <c r="D64" i="4"/>
  <c r="D60" i="4"/>
  <c r="B53" i="7"/>
  <c r="E51" i="7"/>
  <c r="C51" i="7"/>
  <c r="B51" i="7"/>
  <c r="B52" i="7" s="1"/>
  <c r="B42" i="7"/>
  <c r="B32" i="7"/>
  <c r="E30" i="7"/>
  <c r="D30" i="7"/>
  <c r="C30" i="7"/>
  <c r="B30" i="7"/>
  <c r="B31" i="7" s="1"/>
  <c r="B21" i="7"/>
  <c r="C120" i="4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B30" i="3"/>
  <c r="C46" i="2"/>
  <c r="C45" i="2"/>
  <c r="C19" i="2"/>
  <c r="I39" i="3" l="1"/>
  <c r="I92" i="4"/>
  <c r="D101" i="4"/>
  <c r="F97" i="4"/>
  <c r="F98" i="4" s="1"/>
  <c r="D98" i="4"/>
  <c r="D99" i="4" s="1"/>
  <c r="I39" i="4"/>
  <c r="D102" i="4"/>
  <c r="D45" i="4"/>
  <c r="E40" i="4" s="1"/>
  <c r="F44" i="4"/>
  <c r="F45" i="4" s="1"/>
  <c r="G40" i="4" s="1"/>
  <c r="D49" i="4"/>
  <c r="E92" i="4"/>
  <c r="E91" i="4"/>
  <c r="G39" i="4"/>
  <c r="D101" i="3"/>
  <c r="D102" i="3" s="1"/>
  <c r="I92" i="3"/>
  <c r="F97" i="3"/>
  <c r="F98" i="3" s="1"/>
  <c r="D49" i="3"/>
  <c r="F44" i="3"/>
  <c r="F45" i="3" s="1"/>
  <c r="D44" i="3"/>
  <c r="D45" i="3" s="1"/>
  <c r="D98" i="3"/>
  <c r="D31" i="2"/>
  <c r="D39" i="2"/>
  <c r="D25" i="2"/>
  <c r="D33" i="2"/>
  <c r="D41" i="2"/>
  <c r="C49" i="2"/>
  <c r="D29" i="2"/>
  <c r="D37" i="2"/>
  <c r="D27" i="2"/>
  <c r="D35" i="2"/>
  <c r="D43" i="2"/>
  <c r="D24" i="2"/>
  <c r="D28" i="2"/>
  <c r="D32" i="2"/>
  <c r="D36" i="2"/>
  <c r="D40" i="2"/>
  <c r="D49" i="2"/>
  <c r="B57" i="3"/>
  <c r="B57" i="4"/>
  <c r="D26" i="2"/>
  <c r="D30" i="2"/>
  <c r="D34" i="2"/>
  <c r="D38" i="2"/>
  <c r="D42" i="2"/>
  <c r="B49" i="2"/>
  <c r="D50" i="2"/>
  <c r="C50" i="2"/>
  <c r="E93" i="4" l="1"/>
  <c r="E94" i="4"/>
  <c r="D46" i="4"/>
  <c r="G41" i="4"/>
  <c r="G38" i="4"/>
  <c r="E39" i="4"/>
  <c r="F46" i="4"/>
  <c r="E41" i="4"/>
  <c r="E38" i="4"/>
  <c r="G93" i="4"/>
  <c r="G92" i="4"/>
  <c r="G94" i="4"/>
  <c r="G91" i="4"/>
  <c r="F99" i="4"/>
  <c r="D52" i="4"/>
  <c r="G40" i="3"/>
  <c r="F46" i="3"/>
  <c r="G39" i="3"/>
  <c r="G38" i="3"/>
  <c r="G41" i="3"/>
  <c r="F99" i="3"/>
  <c r="G92" i="3"/>
  <c r="G91" i="3"/>
  <c r="G93" i="3"/>
  <c r="G94" i="3"/>
  <c r="E94" i="3"/>
  <c r="E93" i="3"/>
  <c r="D99" i="3"/>
  <c r="E92" i="3"/>
  <c r="E91" i="3"/>
  <c r="D46" i="3"/>
  <c r="E39" i="3"/>
  <c r="E38" i="3"/>
  <c r="E40" i="3"/>
  <c r="E41" i="3"/>
  <c r="B69" i="4"/>
  <c r="B69" i="3"/>
  <c r="D50" i="4" l="1"/>
  <c r="G68" i="4" s="1"/>
  <c r="H68" i="4" s="1"/>
  <c r="E95" i="4"/>
  <c r="D105" i="4"/>
  <c r="E42" i="4"/>
  <c r="G42" i="4"/>
  <c r="D51" i="4"/>
  <c r="G65" i="4"/>
  <c r="H65" i="4" s="1"/>
  <c r="G66" i="4"/>
  <c r="H66" i="4" s="1"/>
  <c r="G60" i="4"/>
  <c r="H60" i="4" s="1"/>
  <c r="G67" i="4"/>
  <c r="H67" i="4" s="1"/>
  <c r="D103" i="4"/>
  <c r="G61" i="4"/>
  <c r="H61" i="4" s="1"/>
  <c r="G71" i="4"/>
  <c r="H71" i="4" s="1"/>
  <c r="G64" i="4"/>
  <c r="H64" i="4" s="1"/>
  <c r="G95" i="4"/>
  <c r="G69" i="4"/>
  <c r="H69" i="4" s="1"/>
  <c r="G70" i="4"/>
  <c r="H70" i="4" s="1"/>
  <c r="G63" i="4"/>
  <c r="H63" i="4" s="1"/>
  <c r="G42" i="3"/>
  <c r="D103" i="3"/>
  <c r="D105" i="3"/>
  <c r="E95" i="3"/>
  <c r="E42" i="3"/>
  <c r="D52" i="3"/>
  <c r="D50" i="3"/>
  <c r="G95" i="3"/>
  <c r="G62" i="4" l="1"/>
  <c r="H62" i="4" s="1"/>
  <c r="H72" i="4"/>
  <c r="G76" i="4" s="1"/>
  <c r="H74" i="4"/>
  <c r="G72" i="4"/>
  <c r="G73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D51" i="3"/>
  <c r="G67" i="3"/>
  <c r="H67" i="3" s="1"/>
  <c r="G69" i="3"/>
  <c r="H69" i="3" s="1"/>
  <c r="G62" i="3"/>
  <c r="H62" i="3" s="1"/>
  <c r="G66" i="3"/>
  <c r="H66" i="3" s="1"/>
  <c r="G60" i="3"/>
  <c r="G61" i="3"/>
  <c r="H61" i="3" s="1"/>
  <c r="G63" i="3"/>
  <c r="H63" i="3" s="1"/>
  <c r="G64" i="3"/>
  <c r="H64" i="3" s="1"/>
  <c r="G65" i="3"/>
  <c r="H65" i="3" s="1"/>
  <c r="G71" i="3"/>
  <c r="H71" i="3" s="1"/>
  <c r="G68" i="3"/>
  <c r="H68" i="3" s="1"/>
  <c r="G70" i="3"/>
  <c r="H70" i="3" s="1"/>
  <c r="E113" i="3"/>
  <c r="F113" i="3" s="1"/>
  <c r="D104" i="3"/>
  <c r="E112" i="3"/>
  <c r="F112" i="3" s="1"/>
  <c r="E110" i="3"/>
  <c r="F110" i="3" s="1"/>
  <c r="E108" i="3"/>
  <c r="E111" i="3"/>
  <c r="F111" i="3" s="1"/>
  <c r="E109" i="3"/>
  <c r="F109" i="3" s="1"/>
  <c r="H73" i="4" l="1"/>
  <c r="G74" i="4"/>
  <c r="E115" i="4"/>
  <c r="E116" i="4" s="1"/>
  <c r="E117" i="4"/>
  <c r="F108" i="4"/>
  <c r="G72" i="3"/>
  <c r="G73" i="3" s="1"/>
  <c r="G74" i="3"/>
  <c r="H60" i="3"/>
  <c r="E117" i="3"/>
  <c r="F108" i="3"/>
  <c r="E115" i="3"/>
  <c r="E116" i="3" s="1"/>
  <c r="F117" i="4" l="1"/>
  <c r="F115" i="4"/>
  <c r="H72" i="3"/>
  <c r="H74" i="3"/>
  <c r="F115" i="3"/>
  <c r="F117" i="3"/>
  <c r="G120" i="4" l="1"/>
  <c r="F116" i="4"/>
  <c r="G120" i="3"/>
  <c r="F116" i="3"/>
  <c r="G76" i="3"/>
  <c r="H73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<sst xmlns="http://schemas.openxmlformats.org/spreadsheetml/2006/main" count="392" uniqueCount="129">
  <si>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</si>
  <si>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</si>
  <si>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</si>
  <si>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</si>
  <si>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MALARDON</t>
  </si>
  <si>
    <t>% age Purity:</t>
  </si>
  <si>
    <t>NDQD201508237</t>
  </si>
  <si>
    <t>Weight (mg):</t>
  </si>
  <si>
    <t xml:space="preserve">sulfadoxine &amp; Pyrimethamine </t>
  </si>
  <si>
    <t>Standard Conc (mg/mL):</t>
  </si>
  <si>
    <t>sulfadoxine USP 500mg pyrimethamine USP 25mg</t>
  </si>
  <si>
    <t>2015-09-04 09:56:18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</si>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</sst>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27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26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workbookViewId="0">
      <selection activeCell="D42" sqref="D41:D42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4" width="25.85546875" style="425" customWidth="1"/>
    <col min="5" max="5" width="25.7109375" style="425" customWidth="1"/>
    <col min="6" max="6" width="23.140625" style="425" customWidth="1"/>
    <col min="7" max="7" width="28.42578125" style="425" customWidth="1"/>
    <col min="8" max="8" width="21.5703125" style="425" customWidth="1"/>
    <col min="9" max="9" width="9.140625" style="425" customWidth="1"/>
    <col min="10" max="16384" width="9.140625" style="462"/>
  </cols>
  <sheetData>
    <row r="14" spans="1:6" ht="15" customHeight="1" x14ac:dyDescent="0.3">
      <c r="A14" s="424"/>
      <c r="C14" s="426"/>
      <c r="F14" s="426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427" t="s">
        <v>1</v>
      </c>
      <c r="B16" s="428" t="s">
        <v>124</v>
      </c>
    </row>
    <row r="17" spans="1:5" ht="16.5" customHeight="1" x14ac:dyDescent="0.3">
      <c r="A17" s="429" t="s">
        <v>2</v>
      </c>
      <c r="B17" s="3" t="s">
        <v>4</v>
      </c>
      <c r="D17" s="430"/>
      <c r="E17" s="431"/>
    </row>
    <row r="18" spans="1:5" ht="16.5" customHeight="1" x14ac:dyDescent="0.3">
      <c r="A18" s="432" t="s">
        <v>3</v>
      </c>
      <c r="B18" s="433" t="s">
        <v>123</v>
      </c>
      <c r="C18" s="431"/>
      <c r="D18" s="431"/>
      <c r="E18" s="431"/>
    </row>
    <row r="19" spans="1:5" ht="16.5" customHeight="1" x14ac:dyDescent="0.3">
      <c r="A19" s="432" t="s">
        <v>5</v>
      </c>
      <c r="B19" s="434">
        <v>99.7</v>
      </c>
      <c r="C19" s="431"/>
      <c r="D19" s="431"/>
      <c r="E19" s="431"/>
    </row>
    <row r="20" spans="1:5" ht="16.5" customHeight="1" x14ac:dyDescent="0.3">
      <c r="A20" s="429" t="s">
        <v>7</v>
      </c>
      <c r="B20" s="434">
        <v>14.12</v>
      </c>
      <c r="C20" s="431"/>
      <c r="D20" s="431"/>
      <c r="E20" s="431"/>
    </row>
    <row r="21" spans="1:5" ht="16.5" customHeight="1" x14ac:dyDescent="0.3">
      <c r="A21" s="429" t="s">
        <v>9</v>
      </c>
      <c r="B21" s="435">
        <f>B20/25*3/10</f>
        <v>0.16943999999999998</v>
      </c>
      <c r="C21" s="431"/>
      <c r="D21" s="431"/>
      <c r="E21" s="431"/>
    </row>
    <row r="22" spans="1:5" ht="15.75" customHeight="1" x14ac:dyDescent="0.25">
      <c r="A22" s="431"/>
      <c r="B22" s="431"/>
      <c r="C22" s="431"/>
      <c r="D22" s="431"/>
      <c r="E22" s="431"/>
    </row>
    <row r="23" spans="1:5" ht="16.5" customHeight="1" x14ac:dyDescent="0.3">
      <c r="A23" s="436" t="s">
        <v>12</v>
      </c>
      <c r="B23" s="437" t="s">
        <v>13</v>
      </c>
      <c r="C23" s="436" t="s">
        <v>14</v>
      </c>
      <c r="D23" s="436" t="s">
        <v>15</v>
      </c>
      <c r="E23" s="436" t="s">
        <v>16</v>
      </c>
    </row>
    <row r="24" spans="1:5" ht="16.5" customHeight="1" x14ac:dyDescent="0.3">
      <c r="A24" s="438">
        <v>1</v>
      </c>
      <c r="B24" s="439">
        <v>23007662</v>
      </c>
      <c r="C24" s="439">
        <v>2711.4</v>
      </c>
      <c r="D24" s="440">
        <v>1.6</v>
      </c>
      <c r="E24" s="441">
        <v>9.1999999999999993</v>
      </c>
    </row>
    <row r="25" spans="1:5" ht="16.5" customHeight="1" x14ac:dyDescent="0.3">
      <c r="A25" s="438">
        <v>2</v>
      </c>
      <c r="B25" s="439">
        <v>23096797</v>
      </c>
      <c r="C25" s="439">
        <v>2704.8</v>
      </c>
      <c r="D25" s="440">
        <v>1.6</v>
      </c>
      <c r="E25" s="440">
        <v>9.1</v>
      </c>
    </row>
    <row r="26" spans="1:5" ht="16.5" customHeight="1" x14ac:dyDescent="0.3">
      <c r="A26" s="438">
        <v>3</v>
      </c>
      <c r="B26" s="439">
        <v>22982036</v>
      </c>
      <c r="C26" s="439">
        <v>2713.6</v>
      </c>
      <c r="D26" s="440">
        <v>1.6</v>
      </c>
      <c r="E26" s="440">
        <v>9.1</v>
      </c>
    </row>
    <row r="27" spans="1:5" ht="16.5" customHeight="1" x14ac:dyDescent="0.3">
      <c r="A27" s="438">
        <v>4</v>
      </c>
      <c r="B27" s="439">
        <v>22908790</v>
      </c>
      <c r="C27" s="439">
        <v>2740.3</v>
      </c>
      <c r="D27" s="440">
        <v>1.6</v>
      </c>
      <c r="E27" s="440">
        <v>9.1</v>
      </c>
    </row>
    <row r="28" spans="1:5" ht="16.5" customHeight="1" x14ac:dyDescent="0.3">
      <c r="A28" s="438">
        <v>5</v>
      </c>
      <c r="B28" s="439">
        <v>23228055</v>
      </c>
      <c r="C28" s="439">
        <v>2715</v>
      </c>
      <c r="D28" s="440">
        <v>1.6</v>
      </c>
      <c r="E28" s="440">
        <v>9.1</v>
      </c>
    </row>
    <row r="29" spans="1:5" ht="16.5" customHeight="1" x14ac:dyDescent="0.3">
      <c r="A29" s="438">
        <v>6</v>
      </c>
      <c r="B29" s="442">
        <v>23150928</v>
      </c>
      <c r="C29" s="442">
        <v>2731.7</v>
      </c>
      <c r="D29" s="443">
        <v>1.6</v>
      </c>
      <c r="E29" s="443">
        <v>9.1</v>
      </c>
    </row>
    <row r="30" spans="1:5" ht="16.5" customHeight="1" x14ac:dyDescent="0.3">
      <c r="A30" s="444" t="s">
        <v>17</v>
      </c>
      <c r="B30" s="445">
        <f>AVERAGE(B24:B29)</f>
        <v>23062378</v>
      </c>
      <c r="C30" s="446">
        <f>AVERAGE(C24:C29)</f>
        <v>2719.4666666666672</v>
      </c>
      <c r="D30" s="447">
        <f>AVERAGE(D24:D29)</f>
        <v>1.5999999999999999</v>
      </c>
      <c r="E30" s="447">
        <f>AVERAGE(E24:E29)</f>
        <v>9.1166666666666671</v>
      </c>
    </row>
    <row r="31" spans="1:5" ht="16.5" customHeight="1" x14ac:dyDescent="0.3">
      <c r="A31" s="448" t="s">
        <v>18</v>
      </c>
      <c r="B31" s="449">
        <f>(STDEV(B24:B29)/B30)</f>
        <v>5.1126097764911498E-3</v>
      </c>
      <c r="C31" s="450"/>
      <c r="D31" s="450"/>
      <c r="E31" s="451"/>
    </row>
    <row r="32" spans="1:5" s="425" customFormat="1" ht="16.5" customHeight="1" x14ac:dyDescent="0.3">
      <c r="A32" s="452" t="s">
        <v>19</v>
      </c>
      <c r="B32" s="453">
        <f>COUNT(B24:B29)</f>
        <v>6</v>
      </c>
      <c r="C32" s="454"/>
      <c r="D32" s="455"/>
      <c r="E32" s="456"/>
    </row>
    <row r="33" spans="1:5" s="425" customFormat="1" ht="15.75" customHeight="1" x14ac:dyDescent="0.25">
      <c r="A33" s="431"/>
      <c r="B33" s="431"/>
      <c r="C33" s="431"/>
      <c r="D33" s="431"/>
      <c r="E33" s="431"/>
    </row>
    <row r="34" spans="1:5" s="425" customFormat="1" ht="16.5" customHeight="1" x14ac:dyDescent="0.3">
      <c r="A34" s="432" t="s">
        <v>20</v>
      </c>
      <c r="B34" s="457" t="s">
        <v>21</v>
      </c>
      <c r="C34" s="458"/>
      <c r="D34" s="458"/>
      <c r="E34" s="458"/>
    </row>
    <row r="35" spans="1:5" ht="16.5" customHeight="1" x14ac:dyDescent="0.3">
      <c r="A35" s="432"/>
      <c r="B35" s="457" t="s">
        <v>22</v>
      </c>
      <c r="C35" s="458"/>
      <c r="D35" s="458"/>
      <c r="E35" s="458"/>
    </row>
    <row r="36" spans="1:5" ht="16.5" customHeight="1" x14ac:dyDescent="0.3">
      <c r="A36" s="432"/>
      <c r="B36" s="457" t="s">
        <v>23</v>
      </c>
      <c r="C36" s="458"/>
      <c r="D36" s="458"/>
      <c r="E36" s="458"/>
    </row>
    <row r="37" spans="1:5" ht="15.75" customHeight="1" x14ac:dyDescent="0.25">
      <c r="A37" s="431"/>
      <c r="B37" s="431"/>
      <c r="C37" s="431"/>
      <c r="D37" s="431"/>
      <c r="E37" s="431"/>
    </row>
    <row r="38" spans="1:5" ht="16.5" customHeight="1" x14ac:dyDescent="0.3">
      <c r="A38" s="427" t="s">
        <v>1</v>
      </c>
      <c r="B38" s="428" t="s">
        <v>125</v>
      </c>
    </row>
    <row r="39" spans="1:5" ht="16.5" customHeight="1" x14ac:dyDescent="0.3">
      <c r="A39" s="432" t="s">
        <v>3</v>
      </c>
      <c r="B39" s="429" t="s">
        <v>126</v>
      </c>
      <c r="C39" s="431"/>
      <c r="D39" s="431"/>
      <c r="E39" s="431"/>
    </row>
    <row r="40" spans="1:5" ht="16.5" customHeight="1" x14ac:dyDescent="0.3">
      <c r="A40" s="432" t="s">
        <v>5</v>
      </c>
      <c r="B40" s="434">
        <v>99.9</v>
      </c>
      <c r="C40" s="431"/>
      <c r="D40" s="431"/>
      <c r="E40" s="431"/>
    </row>
    <row r="41" spans="1:5" ht="16.5" customHeight="1" x14ac:dyDescent="0.3">
      <c r="A41" s="429" t="s">
        <v>7</v>
      </c>
      <c r="B41" s="434">
        <v>19.21</v>
      </c>
      <c r="C41" s="431"/>
      <c r="D41" s="431"/>
      <c r="E41" s="431"/>
    </row>
    <row r="42" spans="1:5" ht="16.5" customHeight="1" x14ac:dyDescent="0.3">
      <c r="A42" s="429" t="s">
        <v>9</v>
      </c>
      <c r="B42" s="435">
        <f>B41/10</f>
        <v>1.921</v>
      </c>
      <c r="C42" s="431"/>
      <c r="D42" s="431"/>
      <c r="E42" s="431"/>
    </row>
    <row r="43" spans="1:5" ht="15.75" customHeight="1" x14ac:dyDescent="0.25">
      <c r="A43" s="431"/>
      <c r="B43" s="431"/>
      <c r="C43" s="431"/>
      <c r="D43" s="431"/>
      <c r="E43" s="431"/>
    </row>
    <row r="44" spans="1:5" ht="16.5" customHeight="1" x14ac:dyDescent="0.3">
      <c r="A44" s="436" t="s">
        <v>12</v>
      </c>
      <c r="B44" s="437" t="s">
        <v>13</v>
      </c>
      <c r="C44" s="436" t="s">
        <v>14</v>
      </c>
      <c r="D44" s="436" t="s">
        <v>15</v>
      </c>
      <c r="E44" s="436" t="s">
        <v>16</v>
      </c>
    </row>
    <row r="45" spans="1:5" ht="16.5" customHeight="1" x14ac:dyDescent="0.3">
      <c r="A45" s="438">
        <v>1</v>
      </c>
      <c r="B45" s="439">
        <v>380193504</v>
      </c>
      <c r="C45" s="439">
        <v>14242.1</v>
      </c>
      <c r="D45" s="440">
        <v>1</v>
      </c>
      <c r="E45" s="441">
        <v>11.8</v>
      </c>
    </row>
    <row r="46" spans="1:5" ht="16.5" customHeight="1" x14ac:dyDescent="0.3">
      <c r="A46" s="438">
        <v>2</v>
      </c>
      <c r="B46" s="439">
        <v>380069507</v>
      </c>
      <c r="C46" s="439">
        <v>14298.5</v>
      </c>
      <c r="D46" s="440">
        <v>1</v>
      </c>
      <c r="E46" s="440">
        <v>11.8</v>
      </c>
    </row>
    <row r="47" spans="1:5" ht="16.5" customHeight="1" x14ac:dyDescent="0.3">
      <c r="A47" s="438">
        <v>3</v>
      </c>
      <c r="B47" s="439">
        <v>377735420</v>
      </c>
      <c r="C47" s="439">
        <v>14140.6</v>
      </c>
      <c r="D47" s="440">
        <v>1</v>
      </c>
      <c r="E47" s="440">
        <v>11.8</v>
      </c>
    </row>
    <row r="48" spans="1:5" ht="16.5" customHeight="1" x14ac:dyDescent="0.3">
      <c r="A48" s="438">
        <v>4</v>
      </c>
      <c r="B48" s="439">
        <v>377526865</v>
      </c>
      <c r="C48" s="439">
        <v>14119.6</v>
      </c>
      <c r="D48" s="440">
        <v>1</v>
      </c>
      <c r="E48" s="440">
        <v>11.8</v>
      </c>
    </row>
    <row r="49" spans="1:7" ht="16.5" customHeight="1" x14ac:dyDescent="0.3">
      <c r="A49" s="438">
        <v>5</v>
      </c>
      <c r="B49" s="439">
        <v>381271121</v>
      </c>
      <c r="C49" s="439">
        <v>14282.9</v>
      </c>
      <c r="D49" s="440">
        <v>1</v>
      </c>
      <c r="E49" s="440">
        <v>11.8</v>
      </c>
    </row>
    <row r="50" spans="1:7" ht="16.5" customHeight="1" x14ac:dyDescent="0.3">
      <c r="A50" s="438">
        <v>6</v>
      </c>
      <c r="B50" s="442">
        <v>379834923</v>
      </c>
      <c r="C50" s="442">
        <v>14254.1</v>
      </c>
      <c r="D50" s="443">
        <v>1</v>
      </c>
      <c r="E50" s="443">
        <v>11.8</v>
      </c>
    </row>
    <row r="51" spans="1:7" ht="16.5" customHeight="1" x14ac:dyDescent="0.3">
      <c r="A51" s="444" t="s">
        <v>17</v>
      </c>
      <c r="B51" s="445">
        <f>AVERAGE(B45:B50)</f>
        <v>379438556.66666669</v>
      </c>
      <c r="C51" s="446">
        <f>AVERAGE(C45:C50)</f>
        <v>14222.966666666667</v>
      </c>
      <c r="D51" s="447">
        <v>1</v>
      </c>
      <c r="E51" s="447">
        <f>AVERAGE(E45:E50)</f>
        <v>11.799999999999999</v>
      </c>
    </row>
    <row r="52" spans="1:7" ht="16.5" customHeight="1" x14ac:dyDescent="0.3">
      <c r="A52" s="448" t="s">
        <v>18</v>
      </c>
      <c r="B52" s="449">
        <f>(STDEV(B45:B50)/B51)</f>
        <v>3.9159049553934488E-3</v>
      </c>
      <c r="C52" s="450"/>
      <c r="D52" s="450"/>
      <c r="E52" s="451"/>
    </row>
    <row r="53" spans="1:7" s="425" customFormat="1" ht="16.5" customHeight="1" x14ac:dyDescent="0.3">
      <c r="A53" s="452" t="s">
        <v>19</v>
      </c>
      <c r="B53" s="453">
        <f>COUNT(B45:B50)</f>
        <v>6</v>
      </c>
      <c r="C53" s="454"/>
      <c r="D53" s="455"/>
      <c r="E53" s="456"/>
    </row>
    <row r="54" spans="1:7" s="425" customFormat="1" ht="15.75" customHeight="1" x14ac:dyDescent="0.25">
      <c r="A54" s="431"/>
      <c r="B54" s="431"/>
      <c r="C54" s="431"/>
      <c r="D54" s="431"/>
      <c r="E54" s="431"/>
    </row>
    <row r="55" spans="1:7" s="425" customFormat="1" ht="16.5" customHeight="1" x14ac:dyDescent="0.3">
      <c r="A55" s="432" t="s">
        <v>20</v>
      </c>
      <c r="B55" s="457" t="s">
        <v>21</v>
      </c>
      <c r="C55" s="458"/>
      <c r="D55" s="458"/>
      <c r="E55" s="458"/>
    </row>
    <row r="56" spans="1:7" ht="16.5" customHeight="1" x14ac:dyDescent="0.3">
      <c r="A56" s="432"/>
      <c r="B56" s="457" t="s">
        <v>22</v>
      </c>
      <c r="C56" s="458"/>
      <c r="D56" s="458"/>
      <c r="E56" s="458"/>
    </row>
    <row r="57" spans="1:7" ht="16.5" customHeight="1" x14ac:dyDescent="0.3">
      <c r="A57" s="432"/>
      <c r="B57" s="457" t="s">
        <v>23</v>
      </c>
      <c r="C57" s="458"/>
      <c r="D57" s="458"/>
      <c r="E57" s="458"/>
    </row>
    <row r="58" spans="1:7" ht="14.25" customHeight="1" thickBot="1" x14ac:dyDescent="0.3">
      <c r="A58" s="459"/>
      <c r="B58" s="460"/>
      <c r="D58" s="461"/>
      <c r="F58" s="462"/>
      <c r="G58" s="462"/>
    </row>
    <row r="59" spans="1:7" ht="15" customHeight="1" x14ac:dyDescent="0.3">
      <c r="B59" s="470" t="s">
        <v>24</v>
      </c>
      <c r="C59" s="470"/>
      <c r="E59" s="463" t="s">
        <v>25</v>
      </c>
      <c r="F59" s="464"/>
      <c r="G59" s="463" t="s">
        <v>26</v>
      </c>
    </row>
    <row r="60" spans="1:7" ht="15" customHeight="1" x14ac:dyDescent="0.3">
      <c r="A60" s="465" t="s">
        <v>27</v>
      </c>
      <c r="B60" s="466"/>
      <c r="C60" s="466"/>
      <c r="E60" s="466"/>
      <c r="G60" s="466"/>
    </row>
    <row r="61" spans="1:7" ht="15" customHeight="1" x14ac:dyDescent="0.3">
      <c r="A61" s="465" t="s">
        <v>28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4" t="s">
        <v>29</v>
      </c>
      <c r="B11" s="475"/>
      <c r="C11" s="475"/>
      <c r="D11" s="475"/>
      <c r="E11" s="475"/>
      <c r="F11" s="476"/>
      <c r="G11" s="44"/>
    </row>
    <row r="12" spans="1:7" ht="16.5" customHeight="1" x14ac:dyDescent="0.3">
      <c r="A12" s="473" t="s">
        <v>30</v>
      </c>
      <c r="B12" s="473"/>
      <c r="C12" s="473"/>
      <c r="D12" s="473"/>
      <c r="E12" s="473"/>
      <c r="F12" s="473"/>
      <c r="G12" s="43"/>
    </row>
    <row r="14" spans="1:7" ht="16.5" customHeight="1" x14ac:dyDescent="0.3">
      <c r="A14" s="478" t="s">
        <v>31</v>
      </c>
      <c r="B14" s="478"/>
      <c r="C14" s="13" t="s">
        <v>4</v>
      </c>
    </row>
    <row r="15" spans="1:7" ht="16.5" customHeight="1" x14ac:dyDescent="0.3">
      <c r="A15" s="478" t="s">
        <v>32</v>
      </c>
      <c r="B15" s="478"/>
      <c r="C15" s="13" t="s">
        <v>6</v>
      </c>
    </row>
    <row r="16" spans="1:7" ht="16.5" customHeight="1" x14ac:dyDescent="0.3">
      <c r="A16" s="478" t="s">
        <v>33</v>
      </c>
      <c r="B16" s="478"/>
      <c r="C16" s="13" t="s">
        <v>8</v>
      </c>
    </row>
    <row r="17" spans="1:5" ht="16.5" customHeight="1" x14ac:dyDescent="0.3">
      <c r="A17" s="478" t="s">
        <v>34</v>
      </c>
      <c r="B17" s="478"/>
      <c r="C17" s="13" t="s">
        <v>10</v>
      </c>
    </row>
    <row r="18" spans="1:5" ht="16.5" customHeight="1" x14ac:dyDescent="0.3">
      <c r="A18" s="478" t="s">
        <v>35</v>
      </c>
      <c r="B18" s="478"/>
      <c r="C18" s="50" t="s">
        <v>11</v>
      </c>
    </row>
    <row r="19" spans="1:5" ht="16.5" customHeight="1" x14ac:dyDescent="0.3">
      <c r="A19" s="478" t="s">
        <v>36</v>
      </c>
      <c r="B19" s="478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73" t="s">
        <v>1</v>
      </c>
      <c r="B21" s="473"/>
      <c r="C21" s="12" t="s">
        <v>37</v>
      </c>
      <c r="D21" s="19"/>
    </row>
    <row r="22" spans="1:5" ht="15.75" customHeight="1" x14ac:dyDescent="0.3">
      <c r="A22" s="477"/>
      <c r="B22" s="477"/>
      <c r="C22" s="10"/>
      <c r="D22" s="477"/>
      <c r="E22" s="477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627.21</v>
      </c>
      <c r="D24" s="40">
        <f t="shared" ref="D24:D43" si="0">(C24-$C$46)/$C$46</f>
        <v>6.4990194164042031E-2</v>
      </c>
      <c r="E24" s="6"/>
    </row>
    <row r="25" spans="1:5" ht="15.75" customHeight="1" x14ac:dyDescent="0.3">
      <c r="C25" s="48">
        <v>593.64</v>
      </c>
      <c r="D25" s="41">
        <f t="shared" si="0"/>
        <v>7.9889970879639376E-3</v>
      </c>
      <c r="E25" s="6"/>
    </row>
    <row r="26" spans="1:5" ht="15.75" customHeight="1" x14ac:dyDescent="0.3">
      <c r="C26" s="48">
        <v>585.89</v>
      </c>
      <c r="D26" s="41">
        <f t="shared" si="0"/>
        <v>-5.1703498688309563E-3</v>
      </c>
      <c r="E26" s="6"/>
    </row>
    <row r="27" spans="1:5" ht="15.75" customHeight="1" x14ac:dyDescent="0.3">
      <c r="C27" s="48">
        <v>596.82000000000005</v>
      </c>
      <c r="D27" s="41">
        <f t="shared" si="0"/>
        <v>1.3388574290881175E-2</v>
      </c>
      <c r="E27" s="6"/>
    </row>
    <row r="28" spans="1:5" ht="15.75" customHeight="1" x14ac:dyDescent="0.3">
      <c r="C28" s="48">
        <v>575.14</v>
      </c>
      <c r="D28" s="41">
        <f t="shared" si="0"/>
        <v>-2.342363758309484E-2</v>
      </c>
      <c r="E28" s="6"/>
    </row>
    <row r="29" spans="1:5" ht="15.75" customHeight="1" x14ac:dyDescent="0.3">
      <c r="C29" s="48">
        <v>585.76</v>
      </c>
      <c r="D29" s="41">
        <f t="shared" si="0"/>
        <v>-5.3910873016546051E-3</v>
      </c>
      <c r="E29" s="6"/>
    </row>
    <row r="30" spans="1:5" ht="15.75" customHeight="1" x14ac:dyDescent="0.3">
      <c r="C30" s="48">
        <v>591.71</v>
      </c>
      <c r="D30" s="41">
        <f t="shared" si="0"/>
        <v>4.711895200658971E-3</v>
      </c>
      <c r="E30" s="6"/>
    </row>
    <row r="31" spans="1:5" ht="15.75" customHeight="1" x14ac:dyDescent="0.3">
      <c r="C31" s="48">
        <v>602.91999999999996</v>
      </c>
      <c r="D31" s="41">
        <f t="shared" si="0"/>
        <v>2.374625383106797E-2</v>
      </c>
      <c r="E31" s="6"/>
    </row>
    <row r="32" spans="1:5" ht="15.75" customHeight="1" x14ac:dyDescent="0.3">
      <c r="C32" s="48">
        <v>574.75</v>
      </c>
      <c r="D32" s="41">
        <f t="shared" si="0"/>
        <v>-2.4085849881565789E-2</v>
      </c>
      <c r="E32" s="6"/>
    </row>
    <row r="33" spans="1:7" ht="15.75" customHeight="1" x14ac:dyDescent="0.3">
      <c r="C33" s="48">
        <v>578.62</v>
      </c>
      <c r="D33" s="41">
        <f t="shared" si="0"/>
        <v>-1.7514666304430781E-2</v>
      </c>
      <c r="E33" s="6"/>
    </row>
    <row r="34" spans="1:7" ht="15.75" customHeight="1" x14ac:dyDescent="0.3">
      <c r="C34" s="48">
        <v>574.84</v>
      </c>
      <c r="D34" s="41">
        <f t="shared" si="0"/>
        <v>-2.3933031658841662E-2</v>
      </c>
      <c r="E34" s="6"/>
    </row>
    <row r="35" spans="1:7" ht="15.75" customHeight="1" x14ac:dyDescent="0.3">
      <c r="C35" s="48">
        <v>595.97</v>
      </c>
      <c r="D35" s="41">
        <f t="shared" si="0"/>
        <v>1.1945291076264923E-2</v>
      </c>
      <c r="E35" s="6"/>
    </row>
    <row r="36" spans="1:7" ht="15.75" customHeight="1" x14ac:dyDescent="0.3">
      <c r="C36" s="48">
        <v>561.23</v>
      </c>
      <c r="D36" s="41">
        <f t="shared" si="0"/>
        <v>-4.7042542895226011E-2</v>
      </c>
      <c r="E36" s="6"/>
    </row>
    <row r="37" spans="1:7" ht="15.75" customHeight="1" x14ac:dyDescent="0.3">
      <c r="C37" s="48">
        <v>590.48</v>
      </c>
      <c r="D37" s="41">
        <f t="shared" si="0"/>
        <v>2.6233794900966541E-3</v>
      </c>
      <c r="E37" s="6"/>
    </row>
    <row r="38" spans="1:7" ht="15.75" customHeight="1" x14ac:dyDescent="0.3">
      <c r="C38" s="48">
        <v>606.13</v>
      </c>
      <c r="D38" s="41">
        <f t="shared" si="0"/>
        <v>2.9196770441559852E-2</v>
      </c>
      <c r="E38" s="6"/>
    </row>
    <row r="39" spans="1:7" ht="15.75" customHeight="1" x14ac:dyDescent="0.3">
      <c r="C39" s="48">
        <v>583.75</v>
      </c>
      <c r="D39" s="41">
        <f t="shared" si="0"/>
        <v>-8.8040276091588144E-3</v>
      </c>
      <c r="E39" s="6"/>
    </row>
    <row r="40" spans="1:7" ht="15.75" customHeight="1" x14ac:dyDescent="0.3">
      <c r="C40" s="48">
        <v>597.73</v>
      </c>
      <c r="D40" s="41">
        <f t="shared" si="0"/>
        <v>1.4933736320646715E-2</v>
      </c>
      <c r="E40" s="6"/>
    </row>
    <row r="41" spans="1:7" ht="15.75" customHeight="1" x14ac:dyDescent="0.3">
      <c r="C41" s="48">
        <v>577.85</v>
      </c>
      <c r="D41" s="41">
        <f t="shared" si="0"/>
        <v>-1.882211109884779E-2</v>
      </c>
      <c r="E41" s="6"/>
    </row>
    <row r="42" spans="1:7" ht="15.75" customHeight="1" x14ac:dyDescent="0.3">
      <c r="C42" s="48">
        <v>604.19000000000005</v>
      </c>
      <c r="D42" s="41">
        <f t="shared" si="0"/>
        <v>2.5902688751730005E-2</v>
      </c>
      <c r="E42" s="6"/>
    </row>
    <row r="43" spans="1:7" ht="16.5" customHeight="1" x14ac:dyDescent="0.3">
      <c r="C43" s="49">
        <v>574.07000000000005</v>
      </c>
      <c r="D43" s="42">
        <f t="shared" si="0"/>
        <v>-2.5240476453258675E-2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11778.699999999999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588.93499999999995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71">
        <f>C46</f>
        <v>588.93499999999995</v>
      </c>
      <c r="C49" s="46">
        <f>-IF(C46&lt;=80,10%,IF(C46&lt;250,7.5%,5%))</f>
        <v>-0.05</v>
      </c>
      <c r="D49" s="34">
        <f>IF(C46&lt;=80,C46*0.9,IF(C46&lt;250,C46*0.925,C46*0.95))</f>
        <v>559.48824999999988</v>
      </c>
    </row>
    <row r="50" spans="1:6" ht="17.25" customHeight="1" x14ac:dyDescent="0.3">
      <c r="B50" s="472"/>
      <c r="C50" s="47">
        <f>IF(C46&lt;=80, 10%, IF(C46&lt;250, 7.5%, 5%))</f>
        <v>0.05</v>
      </c>
      <c r="D50" s="34">
        <f>IF(C46&lt;=80, C46*1.1, IF(C46&lt;250, C46*1.075, C46*1.05))</f>
        <v>618.38175000000001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53" zoomScale="60" zoomScaleNormal="60" zoomScaleSheetLayoutView="50" zoomScalePageLayoutView="55" workbookViewId="0">
      <selection activeCell="B110" sqref="B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9" t="s">
        <v>43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25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25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25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25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25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25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25">
      <c r="A8" s="480" t="s">
        <v>44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25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25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25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25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25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25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">
      <c r="A15" s="51"/>
    </row>
    <row r="16" spans="1:9" ht="19.5" customHeight="1" x14ac:dyDescent="0.3">
      <c r="A16" s="515" t="s">
        <v>29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45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53" t="s">
        <v>31</v>
      </c>
      <c r="B18" s="514" t="s">
        <v>4</v>
      </c>
      <c r="C18" s="514"/>
      <c r="D18" s="220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3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19" t="s">
        <v>8</v>
      </c>
      <c r="C20" s="519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19" t="s">
        <v>10</v>
      </c>
      <c r="C21" s="519"/>
      <c r="D21" s="519"/>
      <c r="E21" s="519"/>
      <c r="F21" s="519"/>
      <c r="G21" s="519"/>
      <c r="H21" s="519"/>
      <c r="I21" s="57"/>
    </row>
    <row r="22" spans="1:14" ht="26.25" customHeight="1" x14ac:dyDescent="0.4">
      <c r="A22" s="53" t="s">
        <v>35</v>
      </c>
      <c r="B22" s="58">
        <v>42438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13" t="s">
        <v>123</v>
      </c>
      <c r="C26" s="514"/>
    </row>
    <row r="27" spans="1:14" ht="26.25" customHeight="1" x14ac:dyDescent="0.4">
      <c r="A27" s="62" t="s">
        <v>46</v>
      </c>
      <c r="B27" s="510" t="s">
        <v>127</v>
      </c>
      <c r="C27" s="511"/>
    </row>
    <row r="28" spans="1:14" ht="27" customHeight="1" x14ac:dyDescent="0.4">
      <c r="A28" s="62" t="s">
        <v>5</v>
      </c>
      <c r="B28" s="422">
        <v>99.7</v>
      </c>
      <c r="C28" s="423"/>
    </row>
    <row r="29" spans="1:14" s="4" customFormat="1" ht="27" customHeight="1" x14ac:dyDescent="0.4">
      <c r="A29" s="62" t="s">
        <v>47</v>
      </c>
      <c r="B29" s="64">
        <v>0</v>
      </c>
      <c r="C29" s="487" t="s">
        <v>48</v>
      </c>
      <c r="D29" s="488"/>
      <c r="E29" s="488"/>
      <c r="F29" s="488"/>
      <c r="G29" s="489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90" t="s">
        <v>51</v>
      </c>
      <c r="D31" s="491"/>
      <c r="E31" s="491"/>
      <c r="F31" s="491"/>
      <c r="G31" s="491"/>
      <c r="H31" s="492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90" t="s">
        <v>53</v>
      </c>
      <c r="D32" s="491"/>
      <c r="E32" s="491"/>
      <c r="F32" s="491"/>
      <c r="G32" s="491"/>
      <c r="H32" s="492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417">
        <v>25</v>
      </c>
      <c r="C36" s="52"/>
      <c r="D36" s="493" t="s">
        <v>57</v>
      </c>
      <c r="E36" s="512"/>
      <c r="F36" s="493" t="s">
        <v>58</v>
      </c>
      <c r="G36" s="494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41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418">
        <v>10</v>
      </c>
      <c r="C38" s="84">
        <v>1</v>
      </c>
      <c r="D38" s="419">
        <v>23277728</v>
      </c>
      <c r="E38" s="86">
        <f>IF(ISBLANK(D38),"-",$D$48/$D$45*D38)</f>
        <v>13779374.004923176</v>
      </c>
      <c r="F38" s="419">
        <v>23376457</v>
      </c>
      <c r="G38" s="87">
        <f>IF(ISBLANK(F38),"-",$D$48/$F$45*F38)</f>
        <v>13877129.138362056</v>
      </c>
      <c r="I38" s="88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9">
        <v>2</v>
      </c>
      <c r="D39" s="420">
        <v>23289179</v>
      </c>
      <c r="E39" s="91">
        <f>IF(ISBLANK(D39),"-",$D$48/$D$45*D39)</f>
        <v>13786152.484838843</v>
      </c>
      <c r="F39" s="420">
        <v>23044289</v>
      </c>
      <c r="G39" s="92">
        <f>IF(ISBLANK(F39),"-",$D$48/$F$45*F39)</f>
        <v>13679941.932805993</v>
      </c>
      <c r="I39" s="495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9">
        <v>3</v>
      </c>
      <c r="D40" s="420">
        <v>23200370</v>
      </c>
      <c r="E40" s="91">
        <f>IF(ISBLANK(D40),"-",$D$48/$D$45*D40)</f>
        <v>13733581.528343294</v>
      </c>
      <c r="F40" s="420">
        <v>22823920</v>
      </c>
      <c r="G40" s="92">
        <f>IF(ISBLANK(F40),"-",$D$48/$F$45*F40)</f>
        <v>13549122.747028966</v>
      </c>
      <c r="I40" s="495"/>
      <c r="L40" s="70"/>
      <c r="M40" s="70"/>
      <c r="N40" s="93"/>
    </row>
    <row r="41" spans="1:14" ht="27" customHeight="1" x14ac:dyDescent="0.4">
      <c r="A41" s="77" t="s">
        <v>67</v>
      </c>
      <c r="B41" s="78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0"/>
      <c r="M41" s="70"/>
      <c r="N41" s="93"/>
    </row>
    <row r="42" spans="1:14" ht="27" customHeight="1" x14ac:dyDescent="0.4">
      <c r="A42" s="77" t="s">
        <v>68</v>
      </c>
      <c r="B42" s="78">
        <v>1</v>
      </c>
      <c r="C42" s="99" t="s">
        <v>69</v>
      </c>
      <c r="D42" s="100">
        <f>AVERAGE(D38:D41)</f>
        <v>23255759</v>
      </c>
      <c r="E42" s="101">
        <f>AVERAGE(E38:E41)</f>
        <v>13766369.339368438</v>
      </c>
      <c r="F42" s="100">
        <f>AVERAGE(F38:F41)</f>
        <v>23081555.333333332</v>
      </c>
      <c r="G42" s="102">
        <f>AVERAGE(G38:G41)</f>
        <v>13702064.60606567</v>
      </c>
      <c r="H42" s="103"/>
    </row>
    <row r="43" spans="1:14" ht="26.25" customHeight="1" x14ac:dyDescent="0.4">
      <c r="A43" s="77" t="s">
        <v>70</v>
      </c>
      <c r="B43" s="78">
        <v>1</v>
      </c>
      <c r="C43" s="104" t="s">
        <v>71</v>
      </c>
      <c r="D43" s="421">
        <v>14.12</v>
      </c>
      <c r="E43" s="93"/>
      <c r="F43" s="421">
        <v>14.08</v>
      </c>
      <c r="H43" s="103"/>
    </row>
    <row r="44" spans="1:14" ht="26.25" customHeight="1" x14ac:dyDescent="0.4">
      <c r="A44" s="77" t="s">
        <v>72</v>
      </c>
      <c r="B44" s="78">
        <v>1</v>
      </c>
      <c r="C44" s="106" t="s">
        <v>73</v>
      </c>
      <c r="D44" s="107">
        <f>D43*$B$34</f>
        <v>14.12</v>
      </c>
      <c r="E44" s="108"/>
      <c r="F44" s="107">
        <f>F43*$B$34</f>
        <v>14.08</v>
      </c>
      <c r="H44" s="103"/>
    </row>
    <row r="45" spans="1:14" ht="19.5" customHeight="1" x14ac:dyDescent="0.3">
      <c r="A45" s="77" t="s">
        <v>74</v>
      </c>
      <c r="B45" s="109">
        <f>(B44/B43)*(B42/B41)*(B40/B39)*(B38/B37)*B36</f>
        <v>83.333333333333343</v>
      </c>
      <c r="C45" s="106" t="s">
        <v>75</v>
      </c>
      <c r="D45" s="110">
        <f>D44*$B$30/100</f>
        <v>14.077639999999999</v>
      </c>
      <c r="E45" s="111"/>
      <c r="F45" s="110">
        <f>F44*$B$30/100</f>
        <v>14.03776</v>
      </c>
      <c r="H45" s="103"/>
    </row>
    <row r="46" spans="1:14" ht="19.5" customHeight="1" x14ac:dyDescent="0.3">
      <c r="A46" s="481" t="s">
        <v>76</v>
      </c>
      <c r="B46" s="482"/>
      <c r="C46" s="106" t="s">
        <v>77</v>
      </c>
      <c r="D46" s="112">
        <f>D45/$B$45</f>
        <v>0.16893167999999997</v>
      </c>
      <c r="E46" s="113"/>
      <c r="F46" s="114">
        <f>F45/$B$45</f>
        <v>0.16845311999999998</v>
      </c>
      <c r="H46" s="103"/>
    </row>
    <row r="47" spans="1:14" ht="27" customHeight="1" x14ac:dyDescent="0.4">
      <c r="A47" s="483"/>
      <c r="B47" s="484"/>
      <c r="C47" s="115" t="s">
        <v>78</v>
      </c>
      <c r="D47" s="116">
        <v>0.1</v>
      </c>
      <c r="E47" s="117"/>
      <c r="F47" s="113"/>
      <c r="H47" s="103"/>
    </row>
    <row r="48" spans="1:14" ht="18.75" x14ac:dyDescent="0.3">
      <c r="C48" s="118" t="s">
        <v>79</v>
      </c>
      <c r="D48" s="110">
        <f>D47*$B$45</f>
        <v>8.3333333333333339</v>
      </c>
      <c r="F48" s="119"/>
      <c r="H48" s="103"/>
    </row>
    <row r="49" spans="1:12" ht="19.5" customHeight="1" x14ac:dyDescent="0.3">
      <c r="C49" s="120" t="s">
        <v>80</v>
      </c>
      <c r="D49" s="121">
        <f>D48/B34</f>
        <v>8.3333333333333339</v>
      </c>
      <c r="F49" s="119"/>
      <c r="H49" s="103"/>
    </row>
    <row r="50" spans="1:12" ht="18.75" x14ac:dyDescent="0.3">
      <c r="C50" s="75" t="s">
        <v>81</v>
      </c>
      <c r="D50" s="122">
        <f>AVERAGE(E38:E41,G38:G41)</f>
        <v>13734216.972717054</v>
      </c>
      <c r="F50" s="123"/>
      <c r="H50" s="103"/>
    </row>
    <row r="51" spans="1:12" ht="18.75" x14ac:dyDescent="0.3">
      <c r="C51" s="77" t="s">
        <v>82</v>
      </c>
      <c r="D51" s="124">
        <f>STDEV(E38:E41,G38:G41)/D50</f>
        <v>8.1317950693827416E-3</v>
      </c>
      <c r="F51" s="123"/>
      <c r="H51" s="103"/>
    </row>
    <row r="52" spans="1:12" ht="19.5" customHeight="1" x14ac:dyDescent="0.3">
      <c r="C52" s="125" t="s">
        <v>19</v>
      </c>
      <c r="D52" s="126">
        <f>COUNT(E38:E41,G38:G41)</f>
        <v>6</v>
      </c>
      <c r="F52" s="123"/>
    </row>
    <row r="54" spans="1:12" ht="18.75" x14ac:dyDescent="0.3">
      <c r="A54" s="127" t="s">
        <v>1</v>
      </c>
      <c r="B54" s="128" t="s">
        <v>83</v>
      </c>
    </row>
    <row r="55" spans="1:12" ht="18.75" x14ac:dyDescent="0.3">
      <c r="A55" s="52" t="s">
        <v>84</v>
      </c>
      <c r="B55" s="129" t="str">
        <f>B21</f>
        <v>sulfadoxine USP 500mg pyrimethamine USP 25mg</v>
      </c>
    </row>
    <row r="56" spans="1:12" ht="26.25" customHeight="1" x14ac:dyDescent="0.4">
      <c r="A56" s="130" t="s">
        <v>85</v>
      </c>
      <c r="B56" s="131">
        <v>25</v>
      </c>
      <c r="C56" s="52" t="str">
        <f>B20</f>
        <v xml:space="preserve">sulfadoxine &amp; Pyrimethamine </v>
      </c>
      <c r="H56" s="132"/>
    </row>
    <row r="57" spans="1:12" ht="18.75" x14ac:dyDescent="0.3">
      <c r="A57" s="129" t="s">
        <v>86</v>
      </c>
      <c r="B57" s="221">
        <f>Uniformity!C46</f>
        <v>588.93499999999995</v>
      </c>
      <c r="H57" s="132"/>
    </row>
    <row r="58" spans="1:12" ht="19.5" customHeight="1" x14ac:dyDescent="0.3">
      <c r="H58" s="132"/>
    </row>
    <row r="59" spans="1:12" s="4" customFormat="1" ht="27" customHeight="1" x14ac:dyDescent="0.4">
      <c r="A59" s="75" t="s">
        <v>87</v>
      </c>
      <c r="B59" s="76">
        <v>250</v>
      </c>
      <c r="C59" s="52"/>
      <c r="D59" s="133" t="s">
        <v>88</v>
      </c>
      <c r="E59" s="134" t="s">
        <v>60</v>
      </c>
      <c r="F59" s="134" t="s">
        <v>61</v>
      </c>
      <c r="G59" s="134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98" t="s">
        <v>92</v>
      </c>
      <c r="D60" s="501">
        <v>575.04999999999995</v>
      </c>
      <c r="E60" s="135">
        <v>1</v>
      </c>
      <c r="F60" s="136">
        <v>12344446</v>
      </c>
      <c r="G60" s="222">
        <f>IF(ISBLANK(F60),"-",(F60/$D$50*$D$47*$B$68)*($B$57/$D$60))</f>
        <v>23.012800150006463</v>
      </c>
      <c r="H60" s="137">
        <f t="shared" ref="H60:H71" si="0">IF(ISBLANK(F60),"-",G60/$B$56)</f>
        <v>0.92051200600025851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99"/>
      <c r="D61" s="502"/>
      <c r="E61" s="138">
        <v>2</v>
      </c>
      <c r="F61" s="90">
        <v>12473363</v>
      </c>
      <c r="G61" s="223">
        <f>IF(ISBLANK(F61),"-",(F61/$D$50*$D$47*$B$68)*($B$57/$D$60))</f>
        <v>23.253130186440533</v>
      </c>
      <c r="H61" s="139">
        <f t="shared" si="0"/>
        <v>0.93012520745762128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99"/>
      <c r="D62" s="502"/>
      <c r="E62" s="138">
        <v>3</v>
      </c>
      <c r="F62" s="140">
        <v>12388201</v>
      </c>
      <c r="G62" s="223">
        <f>IF(ISBLANK(F62),"-",(F62/$D$50*$D$47*$B$68)*($B$57/$D$60))</f>
        <v>23.094369227352139</v>
      </c>
      <c r="H62" s="139">
        <f t="shared" si="0"/>
        <v>0.92377476909408562</v>
      </c>
      <c r="L62" s="65"/>
    </row>
    <row r="63" spans="1:12" ht="27" customHeight="1" x14ac:dyDescent="0.4">
      <c r="A63" s="77" t="s">
        <v>95</v>
      </c>
      <c r="B63" s="78">
        <v>1</v>
      </c>
      <c r="C63" s="509"/>
      <c r="D63" s="503"/>
      <c r="E63" s="141">
        <v>4</v>
      </c>
      <c r="F63" s="142"/>
      <c r="G63" s="223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98" t="s">
        <v>97</v>
      </c>
      <c r="D64" s="501">
        <v>574.96</v>
      </c>
      <c r="E64" s="135">
        <v>1</v>
      </c>
      <c r="F64" s="136">
        <v>12329125</v>
      </c>
      <c r="G64" s="224">
        <f>IF(ISBLANK(F64),"-",(F64/$D$50*$D$47*$B$68)*($B$57/$D$64))</f>
        <v>22.987836172676104</v>
      </c>
      <c r="H64" s="143">
        <f t="shared" si="0"/>
        <v>0.91951344690704417</v>
      </c>
    </row>
    <row r="65" spans="1:8" ht="26.25" customHeight="1" x14ac:dyDescent="0.4">
      <c r="A65" s="77" t="s">
        <v>98</v>
      </c>
      <c r="B65" s="78">
        <v>1</v>
      </c>
      <c r="C65" s="499"/>
      <c r="D65" s="502"/>
      <c r="E65" s="138">
        <v>2</v>
      </c>
      <c r="F65" s="90">
        <v>12347894</v>
      </c>
      <c r="G65" s="225">
        <f>IF(ISBLANK(F65),"-",(F65/$D$50*$D$47*$B$68)*($B$57/$D$64))</f>
        <v>23.022831251169098</v>
      </c>
      <c r="H65" s="144">
        <f t="shared" si="0"/>
        <v>0.92091325004676394</v>
      </c>
    </row>
    <row r="66" spans="1:8" ht="26.25" customHeight="1" x14ac:dyDescent="0.4">
      <c r="A66" s="77" t="s">
        <v>99</v>
      </c>
      <c r="B66" s="78">
        <v>1</v>
      </c>
      <c r="C66" s="499"/>
      <c r="D66" s="502"/>
      <c r="E66" s="138">
        <v>3</v>
      </c>
      <c r="F66" s="90">
        <v>12498299</v>
      </c>
      <c r="G66" s="225">
        <f>IF(ISBLANK(F66),"-",(F66/$D$50*$D$47*$B$68)*($B$57/$D$64))</f>
        <v>23.303263601360321</v>
      </c>
      <c r="H66" s="144">
        <f t="shared" si="0"/>
        <v>0.93213054405441287</v>
      </c>
    </row>
    <row r="67" spans="1:8" ht="27" customHeight="1" x14ac:dyDescent="0.4">
      <c r="A67" s="77" t="s">
        <v>100</v>
      </c>
      <c r="B67" s="78">
        <v>1</v>
      </c>
      <c r="C67" s="509"/>
      <c r="D67" s="503"/>
      <c r="E67" s="141">
        <v>4</v>
      </c>
      <c r="F67" s="142"/>
      <c r="G67" s="226" t="str">
        <f>IF(ISBLANK(F67),"-",(F67/$D$50*$D$47*$B$68)*($B$57/$D$64))</f>
        <v>-</v>
      </c>
      <c r="H67" s="145" t="str">
        <f t="shared" si="0"/>
        <v>-</v>
      </c>
    </row>
    <row r="68" spans="1:8" ht="26.25" customHeight="1" x14ac:dyDescent="0.4">
      <c r="A68" s="77" t="s">
        <v>101</v>
      </c>
      <c r="B68" s="146">
        <f>(B67/B66)*(B65/B64)*(B63/B62)*(B61/B60)*B59</f>
        <v>250</v>
      </c>
      <c r="C68" s="498" t="s">
        <v>102</v>
      </c>
      <c r="D68" s="501">
        <v>578.69000000000005</v>
      </c>
      <c r="E68" s="135">
        <v>1</v>
      </c>
      <c r="F68" s="136">
        <v>12637498</v>
      </c>
      <c r="G68" s="224">
        <f>IF(ISBLANK(F68),"-",(F68/$D$50*$D$47*$B$68)*($B$57/$D$68))</f>
        <v>23.410925974344512</v>
      </c>
      <c r="H68" s="139">
        <f t="shared" si="0"/>
        <v>0.9364370389737805</v>
      </c>
    </row>
    <row r="69" spans="1:8" ht="27" customHeight="1" x14ac:dyDescent="0.4">
      <c r="A69" s="125" t="s">
        <v>103</v>
      </c>
      <c r="B69" s="147">
        <f>(D47*B68)/B56*B57</f>
        <v>588.93499999999995</v>
      </c>
      <c r="C69" s="499"/>
      <c r="D69" s="502"/>
      <c r="E69" s="138">
        <v>2</v>
      </c>
      <c r="F69" s="90">
        <v>12557315</v>
      </c>
      <c r="G69" s="225">
        <f>IF(ISBLANK(F69),"-",(F69/$D$50*$D$47*$B$68)*($B$57/$D$68))</f>
        <v>23.262387214741871</v>
      </c>
      <c r="H69" s="139">
        <f t="shared" si="0"/>
        <v>0.93049548858967479</v>
      </c>
    </row>
    <row r="70" spans="1:8" ht="26.25" customHeight="1" x14ac:dyDescent="0.4">
      <c r="A70" s="504" t="s">
        <v>76</v>
      </c>
      <c r="B70" s="505"/>
      <c r="C70" s="499"/>
      <c r="D70" s="502"/>
      <c r="E70" s="138">
        <v>3</v>
      </c>
      <c r="F70" s="90">
        <v>12479109</v>
      </c>
      <c r="G70" s="225">
        <f>IF(ISBLANK(F70),"-",(F70/$D$50*$D$47*$B$68)*($B$57/$D$68))</f>
        <v>23.117510841527043</v>
      </c>
      <c r="H70" s="139">
        <f t="shared" si="0"/>
        <v>0.92470043366108168</v>
      </c>
    </row>
    <row r="71" spans="1:8" ht="27" customHeight="1" x14ac:dyDescent="0.4">
      <c r="A71" s="506"/>
      <c r="B71" s="507"/>
      <c r="C71" s="500"/>
      <c r="D71" s="503"/>
      <c r="E71" s="141">
        <v>4</v>
      </c>
      <c r="F71" s="142"/>
      <c r="G71" s="226" t="str">
        <f>IF(ISBLANK(F71),"-",(F71/$D$50*$D$47*$B$68)*($B$57/$D$68))</f>
        <v>-</v>
      </c>
      <c r="H71" s="14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1" t="s">
        <v>69</v>
      </c>
      <c r="G72" s="231">
        <f>AVERAGE(G60:G71)</f>
        <v>23.162783846624233</v>
      </c>
      <c r="H72" s="152">
        <f>AVERAGE(H60:H71)</f>
        <v>0.92651135386496919</v>
      </c>
    </row>
    <row r="73" spans="1:8" ht="26.25" customHeight="1" x14ac:dyDescent="0.4">
      <c r="C73" s="149"/>
      <c r="D73" s="149"/>
      <c r="E73" s="149"/>
      <c r="F73" s="153" t="s">
        <v>82</v>
      </c>
      <c r="G73" s="227">
        <f>STDEV(G60:G71)/G72</f>
        <v>6.4544834392386927E-3</v>
      </c>
      <c r="H73" s="227">
        <f>STDEV(H60:H71)/H72</f>
        <v>6.4544834392386953E-3</v>
      </c>
    </row>
    <row r="74" spans="1:8" ht="27" customHeight="1" x14ac:dyDescent="0.4">
      <c r="A74" s="149"/>
      <c r="B74" s="149"/>
      <c r="C74" s="150"/>
      <c r="D74" s="150"/>
      <c r="E74" s="154"/>
      <c r="F74" s="155" t="s">
        <v>19</v>
      </c>
      <c r="G74" s="156">
        <f>COUNT(G60:G71)</f>
        <v>9</v>
      </c>
      <c r="H74" s="156">
        <f>COUNT(H60:H71)</f>
        <v>9</v>
      </c>
    </row>
    <row r="76" spans="1:8" ht="26.25" customHeight="1" x14ac:dyDescent="0.4">
      <c r="A76" s="61" t="s">
        <v>104</v>
      </c>
      <c r="B76" s="157" t="s">
        <v>105</v>
      </c>
      <c r="C76" s="485" t="str">
        <f>B20</f>
        <v xml:space="preserve">sulfadoxine &amp; Pyrimethamine </v>
      </c>
      <c r="D76" s="485"/>
      <c r="E76" s="158" t="s">
        <v>106</v>
      </c>
      <c r="F76" s="158"/>
      <c r="G76" s="159">
        <f>H72</f>
        <v>0.92651135386496919</v>
      </c>
      <c r="H76" s="160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508" t="str">
        <f>B26</f>
        <v>Pyrimethamine</v>
      </c>
      <c r="C79" s="508"/>
    </row>
    <row r="80" spans="1:8" ht="26.25" customHeight="1" x14ac:dyDescent="0.4">
      <c r="A80" s="62" t="s">
        <v>46</v>
      </c>
      <c r="B80" s="508" t="str">
        <f>B27</f>
        <v>P21-2</v>
      </c>
      <c r="C80" s="508"/>
    </row>
    <row r="81" spans="1:12" ht="27" customHeight="1" x14ac:dyDescent="0.4">
      <c r="A81" s="62" t="s">
        <v>5</v>
      </c>
      <c r="B81" s="161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87" t="s">
        <v>48</v>
      </c>
      <c r="D82" s="488"/>
      <c r="E82" s="488"/>
      <c r="F82" s="488"/>
      <c r="G82" s="489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90" t="s">
        <v>109</v>
      </c>
      <c r="D84" s="491"/>
      <c r="E84" s="491"/>
      <c r="F84" s="491"/>
      <c r="G84" s="491"/>
      <c r="H84" s="492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90" t="s">
        <v>110</v>
      </c>
      <c r="D85" s="491"/>
      <c r="E85" s="491"/>
      <c r="F85" s="491"/>
      <c r="G85" s="491"/>
      <c r="H85" s="492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76">
        <v>1</v>
      </c>
      <c r="D89" s="162" t="s">
        <v>57</v>
      </c>
      <c r="E89" s="163"/>
      <c r="F89" s="493" t="s">
        <v>58</v>
      </c>
      <c r="G89" s="494"/>
    </row>
    <row r="90" spans="1:12" ht="27" customHeight="1" x14ac:dyDescent="0.4">
      <c r="A90" s="77" t="s">
        <v>59</v>
      </c>
      <c r="B90" s="78">
        <v>1</v>
      </c>
      <c r="C90" s="164" t="s">
        <v>60</v>
      </c>
      <c r="D90" s="80" t="s">
        <v>61</v>
      </c>
      <c r="E90" s="81" t="s">
        <v>62</v>
      </c>
      <c r="F90" s="80" t="s">
        <v>61</v>
      </c>
      <c r="G90" s="165" t="s">
        <v>62</v>
      </c>
      <c r="I90" s="83" t="s">
        <v>63</v>
      </c>
    </row>
    <row r="91" spans="1:12" ht="26.25" customHeight="1" x14ac:dyDescent="0.4">
      <c r="A91" s="77" t="s">
        <v>64</v>
      </c>
      <c r="B91" s="78">
        <v>1</v>
      </c>
      <c r="C91" s="166">
        <v>1</v>
      </c>
      <c r="D91" s="85"/>
      <c r="E91" s="86" t="str">
        <f>IF(ISBLANK(D91),"-",$D$101/$D$98*D91)</f>
        <v>-</v>
      </c>
      <c r="F91" s="85"/>
      <c r="G91" s="87" t="str">
        <f>IF(ISBLANK(F91),"-",$D$101/$F$98*F91)</f>
        <v>-</v>
      </c>
      <c r="I91" s="88"/>
    </row>
    <row r="92" spans="1:12" ht="26.25" customHeight="1" x14ac:dyDescent="0.4">
      <c r="A92" s="77" t="s">
        <v>65</v>
      </c>
      <c r="B92" s="78">
        <v>1</v>
      </c>
      <c r="C92" s="150">
        <v>2</v>
      </c>
      <c r="D92" s="90"/>
      <c r="E92" s="91" t="str">
        <f>IF(ISBLANK(D92),"-",$D$101/$D$98*D92)</f>
        <v>-</v>
      </c>
      <c r="F92" s="90"/>
      <c r="G92" s="92" t="str">
        <f>IF(ISBLANK(F92),"-",$D$101/$F$98*F92)</f>
        <v>-</v>
      </c>
      <c r="I92" s="495" t="e">
        <f>ABS((F96/D96*D95)-F95)/D95</f>
        <v>#DIV/0!</v>
      </c>
    </row>
    <row r="93" spans="1:12" ht="26.25" customHeight="1" x14ac:dyDescent="0.4">
      <c r="A93" s="77" t="s">
        <v>66</v>
      </c>
      <c r="B93" s="78">
        <v>1</v>
      </c>
      <c r="C93" s="150">
        <v>3</v>
      </c>
      <c r="D93" s="90"/>
      <c r="E93" s="91" t="str">
        <f>IF(ISBLANK(D93),"-",$D$101/$D$98*D93)</f>
        <v>-</v>
      </c>
      <c r="F93" s="90"/>
      <c r="G93" s="92" t="str">
        <f>IF(ISBLANK(F93),"-",$D$101/$F$98*F93)</f>
        <v>-</v>
      </c>
      <c r="I93" s="495"/>
    </row>
    <row r="94" spans="1:12" ht="27" customHeight="1" x14ac:dyDescent="0.4">
      <c r="A94" s="77" t="s">
        <v>67</v>
      </c>
      <c r="B94" s="78">
        <v>1</v>
      </c>
      <c r="C94" s="167">
        <v>4</v>
      </c>
      <c r="D94" s="95"/>
      <c r="E94" s="96" t="str">
        <f>IF(ISBLANK(D94),"-",$D$101/$D$98*D94)</f>
        <v>-</v>
      </c>
      <c r="F94" s="168"/>
      <c r="G94" s="97" t="str">
        <f>IF(ISBLANK(F94),"-",$D$101/$F$98*F94)</f>
        <v>-</v>
      </c>
      <c r="I94" s="98"/>
    </row>
    <row r="95" spans="1:12" ht="27" customHeight="1" x14ac:dyDescent="0.4">
      <c r="A95" s="77" t="s">
        <v>68</v>
      </c>
      <c r="B95" s="78">
        <v>1</v>
      </c>
      <c r="C95" s="169" t="s">
        <v>69</v>
      </c>
      <c r="D95" s="170" t="e">
        <f>AVERAGE(D91:D94)</f>
        <v>#DIV/0!</v>
      </c>
      <c r="E95" s="101" t="e">
        <f>AVERAGE(E91:E94)</f>
        <v>#DIV/0!</v>
      </c>
      <c r="F95" s="171" t="e">
        <f>AVERAGE(F91:F94)</f>
        <v>#DIV/0!</v>
      </c>
      <c r="G95" s="172" t="e">
        <f>AVERAGE(G91:G94)</f>
        <v>#DIV/0!</v>
      </c>
    </row>
    <row r="96" spans="1:12" ht="26.25" customHeight="1" x14ac:dyDescent="0.4">
      <c r="A96" s="77" t="s">
        <v>70</v>
      </c>
      <c r="B96" s="63">
        <v>1</v>
      </c>
      <c r="C96" s="173" t="s">
        <v>111</v>
      </c>
      <c r="D96" s="174"/>
      <c r="E96" s="93"/>
      <c r="F96" s="105"/>
    </row>
    <row r="97" spans="1:10" ht="26.25" customHeight="1" x14ac:dyDescent="0.4">
      <c r="A97" s="77" t="s">
        <v>72</v>
      </c>
      <c r="B97" s="63">
        <v>1</v>
      </c>
      <c r="C97" s="175" t="s">
        <v>112</v>
      </c>
      <c r="D97" s="176">
        <f>D96*$B$87</f>
        <v>0</v>
      </c>
      <c r="E97" s="108"/>
      <c r="F97" s="107">
        <f>F96*$B$87</f>
        <v>0</v>
      </c>
    </row>
    <row r="98" spans="1:10" ht="19.5" customHeight="1" x14ac:dyDescent="0.3">
      <c r="A98" s="77" t="s">
        <v>74</v>
      </c>
      <c r="B98" s="177">
        <f>(B97/B96)*(B95/B94)*(B93/B92)*(B91/B90)*B89</f>
        <v>1</v>
      </c>
      <c r="C98" s="175" t="s">
        <v>113</v>
      </c>
      <c r="D98" s="178">
        <f>D97*$B$83/100</f>
        <v>0</v>
      </c>
      <c r="E98" s="111"/>
      <c r="F98" s="110">
        <f>F97*$B$83/100</f>
        <v>0</v>
      </c>
    </row>
    <row r="99" spans="1:10" ht="19.5" customHeight="1" x14ac:dyDescent="0.3">
      <c r="A99" s="481" t="s">
        <v>76</v>
      </c>
      <c r="B99" s="496"/>
      <c r="C99" s="175" t="s">
        <v>114</v>
      </c>
      <c r="D99" s="179">
        <f>D98/$B$98</f>
        <v>0</v>
      </c>
      <c r="E99" s="111"/>
      <c r="F99" s="114">
        <f>F98/$B$98</f>
        <v>0</v>
      </c>
      <c r="G99" s="180"/>
      <c r="H99" s="103"/>
    </row>
    <row r="100" spans="1:10" ht="19.5" customHeight="1" x14ac:dyDescent="0.3">
      <c r="A100" s="483"/>
      <c r="B100" s="497"/>
      <c r="C100" s="175" t="s">
        <v>78</v>
      </c>
      <c r="D100" s="181">
        <f>$B$56/$B$116</f>
        <v>25</v>
      </c>
      <c r="F100" s="119"/>
      <c r="G100" s="182"/>
      <c r="H100" s="103"/>
    </row>
    <row r="101" spans="1:10" ht="18.75" x14ac:dyDescent="0.3">
      <c r="C101" s="175" t="s">
        <v>79</v>
      </c>
      <c r="D101" s="176">
        <f>D100*$B$98</f>
        <v>25</v>
      </c>
      <c r="F101" s="119"/>
      <c r="G101" s="180"/>
      <c r="H101" s="103"/>
    </row>
    <row r="102" spans="1:10" ht="19.5" customHeight="1" x14ac:dyDescent="0.3">
      <c r="C102" s="183" t="s">
        <v>80</v>
      </c>
      <c r="D102" s="184">
        <f>D101/B34</f>
        <v>25</v>
      </c>
      <c r="F102" s="123"/>
      <c r="G102" s="180"/>
      <c r="H102" s="103"/>
      <c r="J102" s="185"/>
    </row>
    <row r="103" spans="1:10" ht="18.75" x14ac:dyDescent="0.3">
      <c r="C103" s="186" t="s">
        <v>115</v>
      </c>
      <c r="D103" s="187" t="e">
        <f>AVERAGE(E91:E94,G91:G94)</f>
        <v>#DIV/0!</v>
      </c>
      <c r="F103" s="123"/>
      <c r="G103" s="188"/>
      <c r="H103" s="103"/>
      <c r="J103" s="189"/>
    </row>
    <row r="104" spans="1:10" ht="18.75" x14ac:dyDescent="0.3">
      <c r="C104" s="153" t="s">
        <v>82</v>
      </c>
      <c r="D104" s="190" t="e">
        <f>STDEV(E91:E94,G91:G94)/D103</f>
        <v>#DIV/0!</v>
      </c>
      <c r="F104" s="123"/>
      <c r="G104" s="180"/>
      <c r="H104" s="103"/>
      <c r="J104" s="189"/>
    </row>
    <row r="105" spans="1:10" ht="19.5" customHeight="1" x14ac:dyDescent="0.3">
      <c r="C105" s="155" t="s">
        <v>19</v>
      </c>
      <c r="D105" s="191">
        <f>COUNT(E91:E94,G91:G94)</f>
        <v>0</v>
      </c>
      <c r="F105" s="123"/>
      <c r="G105" s="180"/>
      <c r="H105" s="103"/>
      <c r="J105" s="189"/>
    </row>
    <row r="106" spans="1:10" ht="19.5" customHeight="1" x14ac:dyDescent="0.3">
      <c r="A106" s="127"/>
      <c r="B106" s="127"/>
      <c r="C106" s="127"/>
      <c r="D106" s="127"/>
      <c r="E106" s="127"/>
    </row>
    <row r="107" spans="1:10" ht="26.25" customHeight="1" x14ac:dyDescent="0.4">
      <c r="A107" s="75" t="s">
        <v>116</v>
      </c>
      <c r="B107" s="76">
        <v>1</v>
      </c>
      <c r="C107" s="192" t="s">
        <v>117</v>
      </c>
      <c r="D107" s="193" t="s">
        <v>61</v>
      </c>
      <c r="E107" s="194" t="s">
        <v>118</v>
      </c>
      <c r="F107" s="195" t="s">
        <v>119</v>
      </c>
    </row>
    <row r="108" spans="1:10" ht="26.25" customHeight="1" x14ac:dyDescent="0.4">
      <c r="A108" s="77" t="s">
        <v>120</v>
      </c>
      <c r="B108" s="78">
        <v>1</v>
      </c>
      <c r="C108" s="196">
        <v>1</v>
      </c>
      <c r="D108" s="197"/>
      <c r="E108" s="228" t="str">
        <f t="shared" ref="E108:E113" si="1">IF(ISBLANK(D108),"-",D108/$D$103*$D$100*$B$116)</f>
        <v>-</v>
      </c>
      <c r="F108" s="198" t="str">
        <f t="shared" ref="F108:F113" si="2">IF(ISBLANK(D108), "-", E108/$B$56)</f>
        <v>-</v>
      </c>
    </row>
    <row r="109" spans="1:10" ht="26.25" customHeight="1" x14ac:dyDescent="0.4">
      <c r="A109" s="77" t="s">
        <v>93</v>
      </c>
      <c r="B109" s="78">
        <v>1</v>
      </c>
      <c r="C109" s="196">
        <v>2</v>
      </c>
      <c r="D109" s="197"/>
      <c r="E109" s="229" t="str">
        <f t="shared" si="1"/>
        <v>-</v>
      </c>
      <c r="F109" s="199" t="str">
        <f t="shared" si="2"/>
        <v>-</v>
      </c>
    </row>
    <row r="110" spans="1:10" ht="26.25" customHeight="1" x14ac:dyDescent="0.4">
      <c r="A110" s="77" t="s">
        <v>94</v>
      </c>
      <c r="B110" s="78">
        <v>1</v>
      </c>
      <c r="C110" s="196">
        <v>3</v>
      </c>
      <c r="D110" s="197"/>
      <c r="E110" s="229" t="str">
        <f t="shared" si="1"/>
        <v>-</v>
      </c>
      <c r="F110" s="199" t="str">
        <f t="shared" si="2"/>
        <v>-</v>
      </c>
    </row>
    <row r="111" spans="1:10" ht="26.25" customHeight="1" x14ac:dyDescent="0.4">
      <c r="A111" s="77" t="s">
        <v>95</v>
      </c>
      <c r="B111" s="78">
        <v>1</v>
      </c>
      <c r="C111" s="196">
        <v>4</v>
      </c>
      <c r="D111" s="197"/>
      <c r="E111" s="229" t="str">
        <f t="shared" si="1"/>
        <v>-</v>
      </c>
      <c r="F111" s="199" t="str">
        <f t="shared" si="2"/>
        <v>-</v>
      </c>
    </row>
    <row r="112" spans="1:10" ht="26.25" customHeight="1" x14ac:dyDescent="0.4">
      <c r="A112" s="77" t="s">
        <v>96</v>
      </c>
      <c r="B112" s="78">
        <v>1</v>
      </c>
      <c r="C112" s="196">
        <v>5</v>
      </c>
      <c r="D112" s="197"/>
      <c r="E112" s="229" t="str">
        <f t="shared" si="1"/>
        <v>-</v>
      </c>
      <c r="F112" s="199" t="str">
        <f t="shared" si="2"/>
        <v>-</v>
      </c>
    </row>
    <row r="113" spans="1:10" ht="26.25" customHeight="1" x14ac:dyDescent="0.4">
      <c r="A113" s="77" t="s">
        <v>98</v>
      </c>
      <c r="B113" s="78">
        <v>1</v>
      </c>
      <c r="C113" s="200">
        <v>6</v>
      </c>
      <c r="D113" s="201"/>
      <c r="E113" s="230" t="str">
        <f t="shared" si="1"/>
        <v>-</v>
      </c>
      <c r="F113" s="202" t="str">
        <f t="shared" si="2"/>
        <v>-</v>
      </c>
    </row>
    <row r="114" spans="1:10" ht="26.25" customHeight="1" x14ac:dyDescent="0.4">
      <c r="A114" s="77" t="s">
        <v>99</v>
      </c>
      <c r="B114" s="78">
        <v>1</v>
      </c>
      <c r="C114" s="196"/>
      <c r="D114" s="150"/>
      <c r="E114" s="51"/>
      <c r="F114" s="203"/>
    </row>
    <row r="115" spans="1:10" ht="26.25" customHeight="1" x14ac:dyDescent="0.4">
      <c r="A115" s="77" t="s">
        <v>100</v>
      </c>
      <c r="B115" s="78">
        <v>1</v>
      </c>
      <c r="C115" s="196"/>
      <c r="D115" s="204" t="s">
        <v>69</v>
      </c>
      <c r="E115" s="232" t="e">
        <f>AVERAGE(E108:E113)</f>
        <v>#DIV/0!</v>
      </c>
      <c r="F115" s="205" t="e">
        <f>AVERAGE(F108:F113)</f>
        <v>#DIV/0!</v>
      </c>
    </row>
    <row r="116" spans="1:10" ht="27" customHeight="1" x14ac:dyDescent="0.4">
      <c r="A116" s="77" t="s">
        <v>101</v>
      </c>
      <c r="B116" s="109">
        <f>(B115/B114)*(B113/B112)*(B111/B110)*(B109/B108)*B107</f>
        <v>1</v>
      </c>
      <c r="C116" s="206"/>
      <c r="D116" s="169" t="s">
        <v>82</v>
      </c>
      <c r="E116" s="207" t="e">
        <f>STDEV(E108:E113)/E115</f>
        <v>#DIV/0!</v>
      </c>
      <c r="F116" s="207" t="e">
        <f>STDEV(F108:F113)/F115</f>
        <v>#DIV/0!</v>
      </c>
      <c r="I116" s="51"/>
    </row>
    <row r="117" spans="1:10" ht="27" customHeight="1" x14ac:dyDescent="0.4">
      <c r="A117" s="481" t="s">
        <v>76</v>
      </c>
      <c r="B117" s="482"/>
      <c r="C117" s="208"/>
      <c r="D117" s="209" t="s">
        <v>19</v>
      </c>
      <c r="E117" s="210">
        <f>COUNT(E108:E113)</f>
        <v>0</v>
      </c>
      <c r="F117" s="210">
        <f>COUNT(F108:F113)</f>
        <v>0</v>
      </c>
      <c r="I117" s="51"/>
      <c r="J117" s="189"/>
    </row>
    <row r="118" spans="1:10" ht="19.5" customHeight="1" x14ac:dyDescent="0.3">
      <c r="A118" s="483"/>
      <c r="B118" s="484"/>
      <c r="C118" s="51"/>
      <c r="D118" s="51"/>
      <c r="E118" s="51"/>
      <c r="F118" s="150"/>
      <c r="G118" s="51"/>
      <c r="H118" s="51"/>
      <c r="I118" s="51"/>
    </row>
    <row r="119" spans="1:10" ht="18.75" x14ac:dyDescent="0.3">
      <c r="A119" s="219"/>
      <c r="B119" s="73"/>
      <c r="C119" s="51"/>
      <c r="D119" s="51"/>
      <c r="E119" s="51"/>
      <c r="F119" s="150"/>
      <c r="G119" s="51"/>
      <c r="H119" s="51"/>
      <c r="I119" s="51"/>
    </row>
    <row r="120" spans="1:10" ht="26.25" customHeight="1" x14ac:dyDescent="0.4">
      <c r="A120" s="61" t="s">
        <v>104</v>
      </c>
      <c r="B120" s="157" t="s">
        <v>121</v>
      </c>
      <c r="C120" s="485" t="str">
        <f>B20</f>
        <v xml:space="preserve">sulfadoxine &amp; Pyrimethamine </v>
      </c>
      <c r="D120" s="485"/>
      <c r="E120" s="158" t="s">
        <v>122</v>
      </c>
      <c r="F120" s="158"/>
      <c r="G120" s="159" t="e">
        <f>F115</f>
        <v>#DIV/0!</v>
      </c>
      <c r="H120" s="51"/>
      <c r="I120" s="51"/>
    </row>
    <row r="121" spans="1:10" ht="19.5" customHeight="1" x14ac:dyDescent="0.3">
      <c r="A121" s="211"/>
      <c r="B121" s="211"/>
      <c r="C121" s="212"/>
      <c r="D121" s="212"/>
      <c r="E121" s="212"/>
      <c r="F121" s="212"/>
      <c r="G121" s="212"/>
      <c r="H121" s="212"/>
    </row>
    <row r="122" spans="1:10" ht="18.75" x14ac:dyDescent="0.3">
      <c r="B122" s="486" t="s">
        <v>24</v>
      </c>
      <c r="C122" s="486"/>
      <c r="E122" s="164" t="s">
        <v>25</v>
      </c>
      <c r="F122" s="213"/>
      <c r="G122" s="486" t="s">
        <v>26</v>
      </c>
      <c r="H122" s="486"/>
    </row>
    <row r="123" spans="1:10" ht="69.95" customHeight="1" x14ac:dyDescent="0.3">
      <c r="A123" s="214" t="s">
        <v>27</v>
      </c>
      <c r="B123" s="215"/>
      <c r="C123" s="215"/>
      <c r="E123" s="215"/>
      <c r="F123" s="51"/>
      <c r="G123" s="216"/>
      <c r="H123" s="216"/>
    </row>
    <row r="124" spans="1:10" ht="69.95" customHeight="1" x14ac:dyDescent="0.3">
      <c r="A124" s="214" t="s">
        <v>28</v>
      </c>
      <c r="B124" s="217"/>
      <c r="C124" s="217"/>
      <c r="E124" s="217"/>
      <c r="F124" s="51"/>
      <c r="G124" s="218"/>
      <c r="H124" s="218"/>
    </row>
    <row r="125" spans="1:10" ht="18.75" x14ac:dyDescent="0.3">
      <c r="A125" s="149"/>
      <c r="B125" s="149"/>
      <c r="C125" s="150"/>
      <c r="D125" s="150"/>
      <c r="E125" s="150"/>
      <c r="F125" s="154"/>
      <c r="G125" s="150"/>
      <c r="H125" s="150"/>
      <c r="I125" s="51"/>
    </row>
    <row r="126" spans="1:10" ht="18.75" x14ac:dyDescent="0.3">
      <c r="A126" s="149"/>
      <c r="B126" s="149"/>
      <c r="C126" s="150"/>
      <c r="D126" s="150"/>
      <c r="E126" s="150"/>
      <c r="F126" s="154"/>
      <c r="G126" s="150"/>
      <c r="H126" s="150"/>
      <c r="I126" s="51"/>
    </row>
    <row r="127" spans="1:10" ht="18.75" x14ac:dyDescent="0.3">
      <c r="A127" s="149"/>
      <c r="B127" s="149"/>
      <c r="C127" s="150"/>
      <c r="D127" s="150"/>
      <c r="E127" s="150"/>
      <c r="F127" s="154"/>
      <c r="G127" s="150"/>
      <c r="H127" s="150"/>
      <c r="I127" s="51"/>
    </row>
    <row r="128" spans="1:10" ht="18.75" x14ac:dyDescent="0.3">
      <c r="A128" s="149"/>
      <c r="B128" s="149"/>
      <c r="C128" s="150"/>
      <c r="D128" s="150"/>
      <c r="E128" s="150"/>
      <c r="F128" s="154"/>
      <c r="G128" s="150"/>
      <c r="H128" s="150"/>
      <c r="I128" s="51"/>
    </row>
    <row r="129" spans="1:9" ht="18.75" x14ac:dyDescent="0.3">
      <c r="A129" s="149"/>
      <c r="B129" s="149"/>
      <c r="C129" s="150"/>
      <c r="D129" s="150"/>
      <c r="E129" s="150"/>
      <c r="F129" s="154"/>
      <c r="G129" s="150"/>
      <c r="H129" s="150"/>
      <c r="I129" s="51"/>
    </row>
    <row r="130" spans="1:9" ht="18.75" x14ac:dyDescent="0.3">
      <c r="A130" s="149"/>
      <c r="B130" s="149"/>
      <c r="C130" s="150"/>
      <c r="D130" s="150"/>
      <c r="E130" s="150"/>
      <c r="F130" s="154"/>
      <c r="G130" s="150"/>
      <c r="H130" s="150"/>
      <c r="I130" s="51"/>
    </row>
    <row r="131" spans="1:9" ht="18.75" x14ac:dyDescent="0.3">
      <c r="A131" s="149"/>
      <c r="B131" s="149"/>
      <c r="C131" s="150"/>
      <c r="D131" s="150"/>
      <c r="E131" s="150"/>
      <c r="F131" s="154"/>
      <c r="G131" s="150"/>
      <c r="H131" s="150"/>
      <c r="I131" s="51"/>
    </row>
    <row r="132" spans="1:9" ht="18.75" x14ac:dyDescent="0.3">
      <c r="A132" s="149"/>
      <c r="B132" s="149"/>
      <c r="C132" s="150"/>
      <c r="D132" s="150"/>
      <c r="E132" s="150"/>
      <c r="F132" s="154"/>
      <c r="G132" s="150"/>
      <c r="H132" s="150"/>
      <c r="I132" s="51"/>
    </row>
    <row r="133" spans="1:9" ht="18.75" x14ac:dyDescent="0.3">
      <c r="A133" s="149"/>
      <c r="B133" s="149"/>
      <c r="C133" s="150"/>
      <c r="D133" s="150"/>
      <c r="E133" s="150"/>
      <c r="F133" s="154"/>
      <c r="G133" s="150"/>
      <c r="H133" s="150"/>
      <c r="I133" s="5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53" zoomScale="60" zoomScaleNormal="60" zoomScaleSheetLayoutView="50" zoomScalePageLayoutView="55" workbookViewId="0">
      <selection activeCell="B110" sqref="B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9" t="s">
        <v>43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25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25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25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25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25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25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25">
      <c r="A8" s="480" t="s">
        <v>44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25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25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25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25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25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25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">
      <c r="A15" s="234"/>
    </row>
    <row r="16" spans="1:9" ht="19.5" customHeight="1" x14ac:dyDescent="0.3">
      <c r="A16" s="515" t="s">
        <v>29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45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236" t="s">
        <v>31</v>
      </c>
      <c r="B18" s="514" t="s">
        <v>4</v>
      </c>
      <c r="C18" s="514"/>
      <c r="D18" s="403"/>
      <c r="E18" s="237"/>
      <c r="F18" s="238"/>
      <c r="G18" s="238"/>
      <c r="H18" s="238"/>
    </row>
    <row r="19" spans="1:14" ht="26.25" customHeight="1" x14ac:dyDescent="0.4">
      <c r="A19" s="236" t="s">
        <v>32</v>
      </c>
      <c r="B19" s="239" t="s">
        <v>6</v>
      </c>
      <c r="C19" s="416">
        <v>29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33</v>
      </c>
      <c r="B20" s="519" t="s">
        <v>8</v>
      </c>
      <c r="C20" s="519"/>
      <c r="D20" s="238"/>
      <c r="E20" s="238"/>
      <c r="F20" s="238"/>
      <c r="G20" s="238"/>
      <c r="H20" s="238"/>
    </row>
    <row r="21" spans="1:14" ht="26.25" customHeight="1" x14ac:dyDescent="0.4">
      <c r="A21" s="236" t="s">
        <v>34</v>
      </c>
      <c r="B21" s="519" t="s">
        <v>10</v>
      </c>
      <c r="C21" s="519"/>
      <c r="D21" s="519"/>
      <c r="E21" s="519"/>
      <c r="F21" s="519"/>
      <c r="G21" s="519"/>
      <c r="H21" s="519"/>
      <c r="I21" s="240"/>
    </row>
    <row r="22" spans="1:14" ht="26.25" customHeight="1" x14ac:dyDescent="0.4">
      <c r="A22" s="236" t="s">
        <v>35</v>
      </c>
      <c r="B22" s="241">
        <v>42438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36</v>
      </c>
      <c r="B23" s="241">
        <v>42453</v>
      </c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3</v>
      </c>
      <c r="B26" s="513" t="s">
        <v>126</v>
      </c>
      <c r="C26" s="514"/>
    </row>
    <row r="27" spans="1:14" ht="26.25" customHeight="1" x14ac:dyDescent="0.4">
      <c r="A27" s="245" t="s">
        <v>46</v>
      </c>
      <c r="B27" s="510" t="s">
        <v>128</v>
      </c>
      <c r="C27" s="511"/>
    </row>
    <row r="28" spans="1:14" ht="27" customHeight="1" x14ac:dyDescent="0.4">
      <c r="A28" s="245" t="s">
        <v>5</v>
      </c>
      <c r="B28" s="422">
        <v>99.9</v>
      </c>
      <c r="C28" s="423"/>
    </row>
    <row r="29" spans="1:14" s="4" customFormat="1" ht="27" customHeight="1" x14ac:dyDescent="0.4">
      <c r="A29" s="245" t="s">
        <v>47</v>
      </c>
      <c r="B29" s="247">
        <v>0</v>
      </c>
      <c r="C29" s="487" t="s">
        <v>48</v>
      </c>
      <c r="D29" s="488"/>
      <c r="E29" s="488"/>
      <c r="F29" s="488"/>
      <c r="G29" s="489"/>
      <c r="I29" s="248"/>
      <c r="J29" s="248"/>
      <c r="K29" s="248"/>
      <c r="L29" s="248"/>
    </row>
    <row r="30" spans="1:14" s="4" customFormat="1" ht="19.5" customHeight="1" x14ac:dyDescent="0.3">
      <c r="A30" s="245" t="s">
        <v>49</v>
      </c>
      <c r="B30" s="249">
        <f>B28-B29</f>
        <v>99.9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4" customFormat="1" ht="27" customHeight="1" x14ac:dyDescent="0.4">
      <c r="A31" s="245" t="s">
        <v>50</v>
      </c>
      <c r="B31" s="252">
        <v>1</v>
      </c>
      <c r="C31" s="490" t="s">
        <v>51</v>
      </c>
      <c r="D31" s="491"/>
      <c r="E31" s="491"/>
      <c r="F31" s="491"/>
      <c r="G31" s="491"/>
      <c r="H31" s="492"/>
      <c r="I31" s="248"/>
      <c r="J31" s="248"/>
      <c r="K31" s="248"/>
      <c r="L31" s="248"/>
    </row>
    <row r="32" spans="1:14" s="4" customFormat="1" ht="27" customHeight="1" x14ac:dyDescent="0.4">
      <c r="A32" s="245" t="s">
        <v>52</v>
      </c>
      <c r="B32" s="252">
        <v>1</v>
      </c>
      <c r="C32" s="490" t="s">
        <v>53</v>
      </c>
      <c r="D32" s="491"/>
      <c r="E32" s="491"/>
      <c r="F32" s="491"/>
      <c r="G32" s="491"/>
      <c r="H32" s="492"/>
      <c r="I32" s="248"/>
      <c r="J32" s="248"/>
      <c r="K32" s="248"/>
      <c r="L32" s="253"/>
      <c r="M32" s="253"/>
      <c r="N32" s="254"/>
    </row>
    <row r="33" spans="1:14" s="4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4" customFormat="1" ht="18.75" x14ac:dyDescent="0.3">
      <c r="A34" s="245" t="s">
        <v>54</v>
      </c>
      <c r="B34" s="257">
        <f>B31/B32</f>
        <v>1</v>
      </c>
      <c r="C34" s="235" t="s">
        <v>55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4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4" customFormat="1" ht="27" customHeight="1" x14ac:dyDescent="0.4">
      <c r="A36" s="258" t="s">
        <v>56</v>
      </c>
      <c r="B36" s="259">
        <v>10</v>
      </c>
      <c r="C36" s="235"/>
      <c r="D36" s="493" t="s">
        <v>57</v>
      </c>
      <c r="E36" s="512"/>
      <c r="F36" s="493" t="s">
        <v>58</v>
      </c>
      <c r="G36" s="494"/>
      <c r="J36" s="248"/>
      <c r="K36" s="248"/>
      <c r="L36" s="253"/>
      <c r="M36" s="253"/>
      <c r="N36" s="254"/>
    </row>
    <row r="37" spans="1:14" s="4" customFormat="1" ht="27" customHeight="1" x14ac:dyDescent="0.4">
      <c r="A37" s="260" t="s">
        <v>59</v>
      </c>
      <c r="B37" s="261">
        <v>1</v>
      </c>
      <c r="C37" s="262" t="s">
        <v>60</v>
      </c>
      <c r="D37" s="263" t="s">
        <v>61</v>
      </c>
      <c r="E37" s="264" t="s">
        <v>62</v>
      </c>
      <c r="F37" s="263" t="s">
        <v>61</v>
      </c>
      <c r="G37" s="265" t="s">
        <v>62</v>
      </c>
      <c r="I37" s="266" t="s">
        <v>63</v>
      </c>
      <c r="J37" s="248"/>
      <c r="K37" s="248"/>
      <c r="L37" s="253"/>
      <c r="M37" s="253"/>
      <c r="N37" s="254"/>
    </row>
    <row r="38" spans="1:14" s="4" customFormat="1" ht="26.25" customHeight="1" x14ac:dyDescent="0.4">
      <c r="A38" s="260" t="s">
        <v>64</v>
      </c>
      <c r="B38" s="261">
        <v>1</v>
      </c>
      <c r="C38" s="267">
        <v>1</v>
      </c>
      <c r="D38" s="419">
        <v>377954127</v>
      </c>
      <c r="E38" s="269">
        <f>IF(ISBLANK(D38),"-",$D$48/$D$45*D38)</f>
        <v>393891160.29095203</v>
      </c>
      <c r="F38" s="419">
        <v>380856483</v>
      </c>
      <c r="G38" s="270">
        <f>IF(ISBLANK(F38),"-",$D$48/$F$45*F38)</f>
        <v>391816773.60814047</v>
      </c>
      <c r="I38" s="271"/>
      <c r="J38" s="248"/>
      <c r="K38" s="248"/>
      <c r="L38" s="253"/>
      <c r="M38" s="253"/>
      <c r="N38" s="254"/>
    </row>
    <row r="39" spans="1:14" s="4" customFormat="1" ht="26.25" customHeight="1" x14ac:dyDescent="0.4">
      <c r="A39" s="260" t="s">
        <v>65</v>
      </c>
      <c r="B39" s="261">
        <v>1</v>
      </c>
      <c r="C39" s="272">
        <v>2</v>
      </c>
      <c r="D39" s="420">
        <v>376876042</v>
      </c>
      <c r="E39" s="274">
        <f>IF(ISBLANK(D39),"-",$D$48/$D$45*D39)</f>
        <v>392767616.13253021</v>
      </c>
      <c r="F39" s="420">
        <v>378286526</v>
      </c>
      <c r="G39" s="275">
        <f>IF(ISBLANK(F39),"-",$D$48/$F$45*F39)</f>
        <v>389172858.36710292</v>
      </c>
      <c r="I39" s="495">
        <f>ABS((F43/D43*D42)-F42)/D42</f>
        <v>1.0247585516996036E-2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66</v>
      </c>
      <c r="B40" s="261">
        <v>1</v>
      </c>
      <c r="C40" s="272">
        <v>3</v>
      </c>
      <c r="D40" s="420">
        <v>380033532</v>
      </c>
      <c r="E40" s="274">
        <f>IF(ISBLANK(D40),"-",$D$48/$D$45*D40)</f>
        <v>396058246.69020915</v>
      </c>
      <c r="F40" s="420">
        <v>378860258</v>
      </c>
      <c r="G40" s="275">
        <f>IF(ISBLANK(F40),"-",$D$48/$F$45*F40)</f>
        <v>389763101.23072708</v>
      </c>
      <c r="I40" s="495"/>
      <c r="L40" s="253"/>
      <c r="M40" s="253"/>
      <c r="N40" s="276"/>
    </row>
    <row r="41" spans="1:14" ht="27" customHeight="1" x14ac:dyDescent="0.4">
      <c r="A41" s="260" t="s">
        <v>67</v>
      </c>
      <c r="B41" s="261">
        <v>1</v>
      </c>
      <c r="C41" s="277">
        <v>4</v>
      </c>
      <c r="D41" s="278"/>
      <c r="E41" s="279" t="str">
        <f>IF(ISBLANK(D41),"-",$D$48/$D$45*D41)</f>
        <v>-</v>
      </c>
      <c r="F41" s="278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68</v>
      </c>
      <c r="B42" s="261">
        <v>1</v>
      </c>
      <c r="C42" s="282" t="s">
        <v>69</v>
      </c>
      <c r="D42" s="283">
        <f>AVERAGE(D38:D41)</f>
        <v>378287900.33333331</v>
      </c>
      <c r="E42" s="284">
        <f>AVERAGE(E38:E41)</f>
        <v>394239007.7045638</v>
      </c>
      <c r="F42" s="283">
        <f>AVERAGE(F38:F41)</f>
        <v>379334422.33333331</v>
      </c>
      <c r="G42" s="285">
        <f>AVERAGE(G38:G41)</f>
        <v>390250911.06865674</v>
      </c>
      <c r="H42" s="286"/>
    </row>
    <row r="43" spans="1:14" ht="26.25" customHeight="1" x14ac:dyDescent="0.4">
      <c r="A43" s="260" t="s">
        <v>70</v>
      </c>
      <c r="B43" s="261">
        <v>1</v>
      </c>
      <c r="C43" s="287" t="s">
        <v>71</v>
      </c>
      <c r="D43" s="421">
        <v>19.21</v>
      </c>
      <c r="E43" s="276"/>
      <c r="F43" s="421">
        <v>19.46</v>
      </c>
      <c r="H43" s="286"/>
    </row>
    <row r="44" spans="1:14" ht="26.25" customHeight="1" x14ac:dyDescent="0.4">
      <c r="A44" s="260" t="s">
        <v>72</v>
      </c>
      <c r="B44" s="261">
        <v>1</v>
      </c>
      <c r="C44" s="289" t="s">
        <v>73</v>
      </c>
      <c r="D44" s="290">
        <f>D43*$B$34</f>
        <v>19.21</v>
      </c>
      <c r="E44" s="291"/>
      <c r="F44" s="290">
        <f>F43*$B$34</f>
        <v>19.46</v>
      </c>
      <c r="H44" s="286"/>
    </row>
    <row r="45" spans="1:14" ht="19.5" customHeight="1" x14ac:dyDescent="0.3">
      <c r="A45" s="260" t="s">
        <v>74</v>
      </c>
      <c r="B45" s="292">
        <f>(B44/B43)*(B42/B41)*(B40/B39)*(B38/B37)*B36</f>
        <v>10</v>
      </c>
      <c r="C45" s="289" t="s">
        <v>75</v>
      </c>
      <c r="D45" s="293">
        <f>D44*$B$30/100</f>
        <v>19.190790000000003</v>
      </c>
      <c r="E45" s="294"/>
      <c r="F45" s="293">
        <f>F44*$B$30/100</f>
        <v>19.440540000000002</v>
      </c>
      <c r="H45" s="286"/>
    </row>
    <row r="46" spans="1:14" ht="19.5" customHeight="1" x14ac:dyDescent="0.3">
      <c r="A46" s="481" t="s">
        <v>76</v>
      </c>
      <c r="B46" s="482"/>
      <c r="C46" s="289" t="s">
        <v>77</v>
      </c>
      <c r="D46" s="295">
        <f>D45/$B$45</f>
        <v>1.9190790000000004</v>
      </c>
      <c r="E46" s="296"/>
      <c r="F46" s="297">
        <f>F45/$B$45</f>
        <v>1.9440540000000002</v>
      </c>
      <c r="H46" s="286"/>
    </row>
    <row r="47" spans="1:14" ht="27" customHeight="1" x14ac:dyDescent="0.4">
      <c r="A47" s="483"/>
      <c r="B47" s="484"/>
      <c r="C47" s="298" t="s">
        <v>78</v>
      </c>
      <c r="D47" s="299">
        <v>2</v>
      </c>
      <c r="E47" s="300"/>
      <c r="F47" s="296"/>
      <c r="H47" s="286"/>
    </row>
    <row r="48" spans="1:14" ht="18.75" x14ac:dyDescent="0.3">
      <c r="C48" s="301" t="s">
        <v>79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80</v>
      </c>
      <c r="D49" s="304">
        <f>D48/B34</f>
        <v>20</v>
      </c>
      <c r="F49" s="302"/>
      <c r="H49" s="286"/>
    </row>
    <row r="50" spans="1:12" ht="18.75" x14ac:dyDescent="0.3">
      <c r="C50" s="258" t="s">
        <v>81</v>
      </c>
      <c r="D50" s="305">
        <f>AVERAGE(E38:E41,G38:G41)</f>
        <v>392244959.38661027</v>
      </c>
      <c r="F50" s="306"/>
      <c r="H50" s="286"/>
    </row>
    <row r="51" spans="1:12" ht="18.75" x14ac:dyDescent="0.3">
      <c r="C51" s="260" t="s">
        <v>82</v>
      </c>
      <c r="D51" s="307">
        <f>STDEV(E38:E41,G38:G41)/D50</f>
        <v>6.5798021633165348E-3</v>
      </c>
      <c r="F51" s="306"/>
      <c r="H51" s="286"/>
    </row>
    <row r="52" spans="1:12" ht="19.5" customHeight="1" x14ac:dyDescent="0.3">
      <c r="C52" s="308" t="s">
        <v>19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83</v>
      </c>
    </row>
    <row r="55" spans="1:12" ht="18.75" x14ac:dyDescent="0.3">
      <c r="A55" s="235" t="s">
        <v>84</v>
      </c>
      <c r="B55" s="312" t="str">
        <f>B21</f>
        <v>sulfadoxine USP 500mg pyrimethamine USP 25mg</v>
      </c>
    </row>
    <row r="56" spans="1:12" ht="26.25" customHeight="1" x14ac:dyDescent="0.4">
      <c r="A56" s="313" t="s">
        <v>85</v>
      </c>
      <c r="B56" s="314">
        <v>500</v>
      </c>
      <c r="C56" s="235" t="str">
        <f>B20</f>
        <v xml:space="preserve">sulfadoxine &amp; Pyrimethamine </v>
      </c>
      <c r="H56" s="315"/>
    </row>
    <row r="57" spans="1:12" ht="18.75" x14ac:dyDescent="0.3">
      <c r="A57" s="312" t="s">
        <v>86</v>
      </c>
      <c r="B57" s="404">
        <f>Uniformity!C46</f>
        <v>588.93499999999995</v>
      </c>
      <c r="H57" s="315"/>
    </row>
    <row r="58" spans="1:12" ht="19.5" customHeight="1" x14ac:dyDescent="0.3">
      <c r="H58" s="315"/>
    </row>
    <row r="59" spans="1:12" s="4" customFormat="1" ht="27" customHeight="1" x14ac:dyDescent="0.4">
      <c r="A59" s="258" t="s">
        <v>87</v>
      </c>
      <c r="B59" s="259">
        <v>250</v>
      </c>
      <c r="C59" s="235"/>
      <c r="D59" s="316" t="s">
        <v>88</v>
      </c>
      <c r="E59" s="317" t="s">
        <v>60</v>
      </c>
      <c r="F59" s="317" t="s">
        <v>61</v>
      </c>
      <c r="G59" s="317" t="s">
        <v>89</v>
      </c>
      <c r="H59" s="262" t="s">
        <v>90</v>
      </c>
      <c r="L59" s="248"/>
    </row>
    <row r="60" spans="1:12" s="4" customFormat="1" ht="26.25" customHeight="1" x14ac:dyDescent="0.4">
      <c r="A60" s="260" t="s">
        <v>91</v>
      </c>
      <c r="B60" s="261">
        <v>1</v>
      </c>
      <c r="C60" s="498" t="s">
        <v>92</v>
      </c>
      <c r="D60" s="501">
        <f>Pyrimethamine!D60</f>
        <v>575.04999999999995</v>
      </c>
      <c r="E60" s="318">
        <v>1</v>
      </c>
      <c r="F60" s="319">
        <v>363038706</v>
      </c>
      <c r="G60" s="405">
        <f>IF(ISBLANK(F60),"-",(F60/$D$50*$D$47*$B$68)*($B$57/$D$60))</f>
        <v>473.94431769164595</v>
      </c>
      <c r="H60" s="320">
        <f t="shared" ref="H60:H71" si="0">IF(ISBLANK(F60),"-",G60/$B$56)</f>
        <v>0.94788863538329193</v>
      </c>
      <c r="L60" s="248"/>
    </row>
    <row r="61" spans="1:12" s="4" customFormat="1" ht="26.25" customHeight="1" x14ac:dyDescent="0.4">
      <c r="A61" s="260" t="s">
        <v>93</v>
      </c>
      <c r="B61" s="261">
        <v>1</v>
      </c>
      <c r="C61" s="499"/>
      <c r="D61" s="502"/>
      <c r="E61" s="321">
        <v>2</v>
      </c>
      <c r="F61" s="273">
        <v>367640598</v>
      </c>
      <c r="G61" s="406">
        <f>IF(ISBLANK(F61),"-",(F61/$D$50*$D$47*$B$68)*($B$57/$D$60))</f>
        <v>479.95205330766771</v>
      </c>
      <c r="H61" s="322">
        <f t="shared" si="0"/>
        <v>0.95990410661533543</v>
      </c>
      <c r="L61" s="248"/>
    </row>
    <row r="62" spans="1:12" s="4" customFormat="1" ht="26.25" customHeight="1" x14ac:dyDescent="0.4">
      <c r="A62" s="260" t="s">
        <v>94</v>
      </c>
      <c r="B62" s="261">
        <v>1</v>
      </c>
      <c r="C62" s="499"/>
      <c r="D62" s="502"/>
      <c r="E62" s="321">
        <v>3</v>
      </c>
      <c r="F62" s="323">
        <v>364866226</v>
      </c>
      <c r="G62" s="406">
        <f>IF(ISBLANK(F62),"-",(F62/$D$50*$D$47*$B$68)*($B$57/$D$60))</f>
        <v>476.33013139457336</v>
      </c>
      <c r="H62" s="322">
        <f t="shared" si="0"/>
        <v>0.95266026278914673</v>
      </c>
      <c r="L62" s="248"/>
    </row>
    <row r="63" spans="1:12" ht="27" customHeight="1" x14ac:dyDescent="0.4">
      <c r="A63" s="260" t="s">
        <v>95</v>
      </c>
      <c r="B63" s="261">
        <v>1</v>
      </c>
      <c r="C63" s="509"/>
      <c r="D63" s="503"/>
      <c r="E63" s="324">
        <v>4</v>
      </c>
      <c r="F63" s="325"/>
      <c r="G63" s="406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96</v>
      </c>
      <c r="B64" s="261">
        <v>1</v>
      </c>
      <c r="C64" s="498" t="s">
        <v>97</v>
      </c>
      <c r="D64" s="501">
        <f>Pyrimethamine!D64</f>
        <v>574.96</v>
      </c>
      <c r="E64" s="318">
        <v>1</v>
      </c>
      <c r="F64" s="319">
        <v>360186459</v>
      </c>
      <c r="G64" s="407">
        <f>IF(ISBLANK(F64),"-",(F64/$D$50*$D$47*$B$68)*($B$57/$D$64))</f>
        <v>470.29433543487261</v>
      </c>
      <c r="H64" s="326">
        <f t="shared" si="0"/>
        <v>0.94058867086974518</v>
      </c>
    </row>
    <row r="65" spans="1:8" ht="26.25" customHeight="1" x14ac:dyDescent="0.4">
      <c r="A65" s="260" t="s">
        <v>98</v>
      </c>
      <c r="B65" s="261">
        <v>1</v>
      </c>
      <c r="C65" s="499"/>
      <c r="D65" s="502"/>
      <c r="E65" s="321">
        <v>2</v>
      </c>
      <c r="F65" s="273">
        <v>361252354</v>
      </c>
      <c r="G65" s="408">
        <f>IF(ISBLANK(F65),"-",(F65/$D$50*$D$47*$B$68)*($B$57/$D$64))</f>
        <v>471.68607120989338</v>
      </c>
      <c r="H65" s="327">
        <f t="shared" si="0"/>
        <v>0.94337214241978673</v>
      </c>
    </row>
    <row r="66" spans="1:8" ht="26.25" customHeight="1" x14ac:dyDescent="0.4">
      <c r="A66" s="260" t="s">
        <v>99</v>
      </c>
      <c r="B66" s="261">
        <v>1</v>
      </c>
      <c r="C66" s="499"/>
      <c r="D66" s="502"/>
      <c r="E66" s="321">
        <v>3</v>
      </c>
      <c r="F66" s="273">
        <v>365066390</v>
      </c>
      <c r="G66" s="408">
        <f>IF(ISBLANK(F66),"-",(F66/$D$50*$D$47*$B$68)*($B$57/$D$64))</f>
        <v>476.66604611212779</v>
      </c>
      <c r="H66" s="327">
        <f t="shared" si="0"/>
        <v>0.95333209222425552</v>
      </c>
    </row>
    <row r="67" spans="1:8" ht="27" customHeight="1" x14ac:dyDescent="0.4">
      <c r="A67" s="260" t="s">
        <v>100</v>
      </c>
      <c r="B67" s="261">
        <v>1</v>
      </c>
      <c r="C67" s="509"/>
      <c r="D67" s="503"/>
      <c r="E67" s="324">
        <v>4</v>
      </c>
      <c r="F67" s="325"/>
      <c r="G67" s="409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101</v>
      </c>
      <c r="B68" s="329">
        <f>(B67/B66)*(B65/B64)*(B63/B62)*(B61/B60)*B59</f>
        <v>250</v>
      </c>
      <c r="C68" s="498" t="s">
        <v>102</v>
      </c>
      <c r="D68" s="501">
        <f>Pyrimethamine!D68</f>
        <v>578.69000000000005</v>
      </c>
      <c r="E68" s="318">
        <v>1</v>
      </c>
      <c r="F68" s="319">
        <v>367884204</v>
      </c>
      <c r="G68" s="407">
        <f>IF(ISBLANK(F68),"-",(F68/$D$50*$D$47*$B$68)*($B$57/$D$68))</f>
        <v>477.24914720847062</v>
      </c>
      <c r="H68" s="322">
        <f t="shared" si="0"/>
        <v>0.95449829441694123</v>
      </c>
    </row>
    <row r="69" spans="1:8" ht="27" customHeight="1" x14ac:dyDescent="0.4">
      <c r="A69" s="308" t="s">
        <v>103</v>
      </c>
      <c r="B69" s="330">
        <f>(D47*B68)/B56*B57</f>
        <v>588.93499999999995</v>
      </c>
      <c r="C69" s="499"/>
      <c r="D69" s="502"/>
      <c r="E69" s="321">
        <v>2</v>
      </c>
      <c r="F69" s="273">
        <v>365735075</v>
      </c>
      <c r="G69" s="408">
        <f>IF(ISBLANK(F69),"-",(F69/$D$50*$D$47*$B$68)*($B$57/$D$68))</f>
        <v>474.46112322880816</v>
      </c>
      <c r="H69" s="322">
        <f t="shared" si="0"/>
        <v>0.94892224645761636</v>
      </c>
    </row>
    <row r="70" spans="1:8" ht="26.25" customHeight="1" x14ac:dyDescent="0.4">
      <c r="A70" s="504" t="s">
        <v>76</v>
      </c>
      <c r="B70" s="505"/>
      <c r="C70" s="499"/>
      <c r="D70" s="502"/>
      <c r="E70" s="321">
        <v>3</v>
      </c>
      <c r="F70" s="273">
        <v>362691261</v>
      </c>
      <c r="G70" s="408">
        <f>IF(ISBLANK(F70),"-",(F70/$D$50*$D$47*$B$68)*($B$57/$D$68))</f>
        <v>470.51244149698476</v>
      </c>
      <c r="H70" s="322">
        <f t="shared" si="0"/>
        <v>0.94102488299396958</v>
      </c>
    </row>
    <row r="71" spans="1:8" ht="27" customHeight="1" x14ac:dyDescent="0.4">
      <c r="A71" s="506"/>
      <c r="B71" s="507"/>
      <c r="C71" s="500"/>
      <c r="D71" s="503"/>
      <c r="E71" s="324">
        <v>4</v>
      </c>
      <c r="F71" s="325"/>
      <c r="G71" s="409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4" t="s">
        <v>69</v>
      </c>
      <c r="G72" s="414">
        <f>AVERAGE(G60:G71)</f>
        <v>474.56618523167162</v>
      </c>
      <c r="H72" s="335">
        <f>AVERAGE(H60:H71)</f>
        <v>0.94913237046334331</v>
      </c>
    </row>
    <row r="73" spans="1:8" ht="26.25" customHeight="1" x14ac:dyDescent="0.4">
      <c r="C73" s="332"/>
      <c r="D73" s="332"/>
      <c r="E73" s="332"/>
      <c r="F73" s="336" t="s">
        <v>82</v>
      </c>
      <c r="G73" s="410">
        <f>STDEV(G60:G71)/G72</f>
        <v>6.9529662785828604E-3</v>
      </c>
      <c r="H73" s="410">
        <f>STDEV(H60:H71)/H72</f>
        <v>6.9529662785828587E-3</v>
      </c>
    </row>
    <row r="74" spans="1:8" ht="27" customHeight="1" x14ac:dyDescent="0.4">
      <c r="A74" s="332"/>
      <c r="B74" s="332"/>
      <c r="C74" s="333"/>
      <c r="D74" s="333"/>
      <c r="E74" s="337"/>
      <c r="F74" s="338" t="s">
        <v>19</v>
      </c>
      <c r="G74" s="339">
        <f>COUNT(G60:G71)</f>
        <v>9</v>
      </c>
      <c r="H74" s="339">
        <f>COUNT(H60:H71)</f>
        <v>9</v>
      </c>
    </row>
    <row r="76" spans="1:8" ht="26.25" customHeight="1" x14ac:dyDescent="0.4">
      <c r="A76" s="244" t="s">
        <v>104</v>
      </c>
      <c r="B76" s="340" t="s">
        <v>105</v>
      </c>
      <c r="C76" s="485" t="str">
        <f>B20</f>
        <v xml:space="preserve">sulfadoxine &amp; Pyrimethamine </v>
      </c>
      <c r="D76" s="485"/>
      <c r="E76" s="341" t="s">
        <v>106</v>
      </c>
      <c r="F76" s="341"/>
      <c r="G76" s="342">
        <f>H72</f>
        <v>0.94913237046334331</v>
      </c>
      <c r="H76" s="343"/>
    </row>
    <row r="77" spans="1:8" ht="18.75" x14ac:dyDescent="0.3">
      <c r="A77" s="243" t="s">
        <v>107</v>
      </c>
      <c r="B77" s="243" t="s">
        <v>108</v>
      </c>
    </row>
    <row r="78" spans="1:8" ht="18.75" x14ac:dyDescent="0.3">
      <c r="A78" s="243"/>
      <c r="B78" s="243"/>
    </row>
    <row r="79" spans="1:8" ht="26.25" customHeight="1" x14ac:dyDescent="0.4">
      <c r="A79" s="244" t="s">
        <v>3</v>
      </c>
      <c r="B79" s="508" t="str">
        <f>B26</f>
        <v>Sulfadoxine</v>
      </c>
      <c r="C79" s="508"/>
    </row>
    <row r="80" spans="1:8" ht="26.25" customHeight="1" x14ac:dyDescent="0.4">
      <c r="A80" s="245" t="s">
        <v>46</v>
      </c>
      <c r="B80" s="508" t="str">
        <f>B27</f>
        <v>S18-1</v>
      </c>
      <c r="C80" s="508"/>
    </row>
    <row r="81" spans="1:12" ht="27" customHeight="1" x14ac:dyDescent="0.4">
      <c r="A81" s="245" t="s">
        <v>5</v>
      </c>
      <c r="B81" s="344">
        <f>B28</f>
        <v>99.9</v>
      </c>
    </row>
    <row r="82" spans="1:12" s="4" customFormat="1" ht="27" customHeight="1" x14ac:dyDescent="0.4">
      <c r="A82" s="245" t="s">
        <v>47</v>
      </c>
      <c r="B82" s="247">
        <v>0</v>
      </c>
      <c r="C82" s="487" t="s">
        <v>48</v>
      </c>
      <c r="D82" s="488"/>
      <c r="E82" s="488"/>
      <c r="F82" s="488"/>
      <c r="G82" s="489"/>
      <c r="I82" s="248"/>
      <c r="J82" s="248"/>
      <c r="K82" s="248"/>
      <c r="L82" s="248"/>
    </row>
    <row r="83" spans="1:12" s="4" customFormat="1" ht="19.5" customHeight="1" x14ac:dyDescent="0.3">
      <c r="A83" s="245" t="s">
        <v>49</v>
      </c>
      <c r="B83" s="249">
        <f>B81-B82</f>
        <v>99.9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4" customFormat="1" ht="27" customHeight="1" x14ac:dyDescent="0.4">
      <c r="A84" s="245" t="s">
        <v>50</v>
      </c>
      <c r="B84" s="252">
        <v>1</v>
      </c>
      <c r="C84" s="490" t="s">
        <v>109</v>
      </c>
      <c r="D84" s="491"/>
      <c r="E84" s="491"/>
      <c r="F84" s="491"/>
      <c r="G84" s="491"/>
      <c r="H84" s="492"/>
      <c r="I84" s="248"/>
      <c r="J84" s="248"/>
      <c r="K84" s="248"/>
      <c r="L84" s="248"/>
    </row>
    <row r="85" spans="1:12" s="4" customFormat="1" ht="27" customHeight="1" x14ac:dyDescent="0.4">
      <c r="A85" s="245" t="s">
        <v>52</v>
      </c>
      <c r="B85" s="252">
        <v>1</v>
      </c>
      <c r="C85" s="490" t="s">
        <v>110</v>
      </c>
      <c r="D85" s="491"/>
      <c r="E85" s="491"/>
      <c r="F85" s="491"/>
      <c r="G85" s="491"/>
      <c r="H85" s="492"/>
      <c r="I85" s="248"/>
      <c r="J85" s="248"/>
      <c r="K85" s="248"/>
      <c r="L85" s="248"/>
    </row>
    <row r="86" spans="1:12" s="4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4" customFormat="1" ht="18.75" x14ac:dyDescent="0.3">
      <c r="A87" s="245" t="s">
        <v>54</v>
      </c>
      <c r="B87" s="257">
        <f>B84/B85</f>
        <v>1</v>
      </c>
      <c r="C87" s="235" t="s">
        <v>55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56</v>
      </c>
      <c r="B89" s="259">
        <v>1</v>
      </c>
      <c r="D89" s="345" t="s">
        <v>57</v>
      </c>
      <c r="E89" s="346"/>
      <c r="F89" s="493" t="s">
        <v>58</v>
      </c>
      <c r="G89" s="494"/>
    </row>
    <row r="90" spans="1:12" ht="27" customHeight="1" x14ac:dyDescent="0.4">
      <c r="A90" s="260" t="s">
        <v>59</v>
      </c>
      <c r="B90" s="261">
        <v>1</v>
      </c>
      <c r="C90" s="347" t="s">
        <v>60</v>
      </c>
      <c r="D90" s="263" t="s">
        <v>61</v>
      </c>
      <c r="E90" s="264" t="s">
        <v>62</v>
      </c>
      <c r="F90" s="263" t="s">
        <v>61</v>
      </c>
      <c r="G90" s="348" t="s">
        <v>62</v>
      </c>
      <c r="I90" s="266" t="s">
        <v>63</v>
      </c>
    </row>
    <row r="91" spans="1:12" ht="26.25" customHeight="1" x14ac:dyDescent="0.4">
      <c r="A91" s="260" t="s">
        <v>64</v>
      </c>
      <c r="B91" s="261">
        <v>1</v>
      </c>
      <c r="C91" s="349">
        <v>1</v>
      </c>
      <c r="D91" s="268"/>
      <c r="E91" s="269" t="str">
        <f>IF(ISBLANK(D91),"-",$D$101/$D$98*D91)</f>
        <v>-</v>
      </c>
      <c r="F91" s="268"/>
      <c r="G91" s="270" t="str">
        <f>IF(ISBLANK(F91),"-",$D$101/$F$98*F91)</f>
        <v>-</v>
      </c>
      <c r="I91" s="271"/>
    </row>
    <row r="92" spans="1:12" ht="26.25" customHeight="1" x14ac:dyDescent="0.4">
      <c r="A92" s="260" t="s">
        <v>65</v>
      </c>
      <c r="B92" s="261">
        <v>1</v>
      </c>
      <c r="C92" s="333">
        <v>2</v>
      </c>
      <c r="D92" s="273"/>
      <c r="E92" s="274" t="str">
        <f>IF(ISBLANK(D92),"-",$D$101/$D$98*D92)</f>
        <v>-</v>
      </c>
      <c r="F92" s="273"/>
      <c r="G92" s="275" t="str">
        <f>IF(ISBLANK(F92),"-",$D$101/$F$98*F92)</f>
        <v>-</v>
      </c>
      <c r="I92" s="495" t="e">
        <f>ABS((F96/D96*D95)-F95)/D95</f>
        <v>#DIV/0!</v>
      </c>
    </row>
    <row r="93" spans="1:12" ht="26.25" customHeight="1" x14ac:dyDescent="0.4">
      <c r="A93" s="260" t="s">
        <v>66</v>
      </c>
      <c r="B93" s="261">
        <v>1</v>
      </c>
      <c r="C93" s="333">
        <v>3</v>
      </c>
      <c r="D93" s="273"/>
      <c r="E93" s="274" t="str">
        <f>IF(ISBLANK(D93),"-",$D$101/$D$98*D93)</f>
        <v>-</v>
      </c>
      <c r="F93" s="273"/>
      <c r="G93" s="275" t="str">
        <f>IF(ISBLANK(F93),"-",$D$101/$F$98*F93)</f>
        <v>-</v>
      </c>
      <c r="I93" s="495"/>
    </row>
    <row r="94" spans="1:12" ht="27" customHeight="1" x14ac:dyDescent="0.4">
      <c r="A94" s="260" t="s">
        <v>67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68</v>
      </c>
      <c r="B95" s="261">
        <v>1</v>
      </c>
      <c r="C95" s="352" t="s">
        <v>69</v>
      </c>
      <c r="D95" s="353" t="e">
        <f>AVERAGE(D91:D94)</f>
        <v>#DIV/0!</v>
      </c>
      <c r="E95" s="284" t="e">
        <f>AVERAGE(E91:E94)</f>
        <v>#DIV/0!</v>
      </c>
      <c r="F95" s="354" t="e">
        <f>AVERAGE(F91:F94)</f>
        <v>#DIV/0!</v>
      </c>
      <c r="G95" s="355" t="e">
        <f>AVERAGE(G91:G94)</f>
        <v>#DIV/0!</v>
      </c>
    </row>
    <row r="96" spans="1:12" ht="26.25" customHeight="1" x14ac:dyDescent="0.4">
      <c r="A96" s="260" t="s">
        <v>70</v>
      </c>
      <c r="B96" s="246">
        <v>1</v>
      </c>
      <c r="C96" s="356" t="s">
        <v>111</v>
      </c>
      <c r="D96" s="357"/>
      <c r="E96" s="276"/>
      <c r="F96" s="288"/>
    </row>
    <row r="97" spans="1:10" ht="26.25" customHeight="1" x14ac:dyDescent="0.4">
      <c r="A97" s="260" t="s">
        <v>72</v>
      </c>
      <c r="B97" s="246">
        <v>1</v>
      </c>
      <c r="C97" s="358" t="s">
        <v>112</v>
      </c>
      <c r="D97" s="359">
        <f>D96*$B$87</f>
        <v>0</v>
      </c>
      <c r="E97" s="291"/>
      <c r="F97" s="290">
        <f>F96*$B$87</f>
        <v>0</v>
      </c>
    </row>
    <row r="98" spans="1:10" ht="19.5" customHeight="1" x14ac:dyDescent="0.3">
      <c r="A98" s="260" t="s">
        <v>74</v>
      </c>
      <c r="B98" s="360">
        <f>(B97/B96)*(B95/B94)*(B93/B92)*(B91/B90)*B89</f>
        <v>1</v>
      </c>
      <c r="C98" s="358" t="s">
        <v>113</v>
      </c>
      <c r="D98" s="361">
        <f>D97*$B$83/100</f>
        <v>0</v>
      </c>
      <c r="E98" s="294"/>
      <c r="F98" s="293">
        <f>F97*$B$83/100</f>
        <v>0</v>
      </c>
    </row>
    <row r="99" spans="1:10" ht="19.5" customHeight="1" x14ac:dyDescent="0.3">
      <c r="A99" s="481" t="s">
        <v>76</v>
      </c>
      <c r="B99" s="496"/>
      <c r="C99" s="358" t="s">
        <v>114</v>
      </c>
      <c r="D99" s="362">
        <f>D98/$B$98</f>
        <v>0</v>
      </c>
      <c r="E99" s="294"/>
      <c r="F99" s="297">
        <f>F98/$B$98</f>
        <v>0</v>
      </c>
      <c r="G99" s="363"/>
      <c r="H99" s="286"/>
    </row>
    <row r="100" spans="1:10" ht="19.5" customHeight="1" x14ac:dyDescent="0.3">
      <c r="A100" s="483"/>
      <c r="B100" s="497"/>
      <c r="C100" s="358" t="s">
        <v>78</v>
      </c>
      <c r="D100" s="364">
        <f>$B$56/$B$116</f>
        <v>500</v>
      </c>
      <c r="F100" s="302"/>
      <c r="G100" s="365"/>
      <c r="H100" s="286"/>
    </row>
    <row r="101" spans="1:10" ht="18.75" x14ac:dyDescent="0.3">
      <c r="C101" s="358" t="s">
        <v>79</v>
      </c>
      <c r="D101" s="359">
        <f>D100*$B$98</f>
        <v>500</v>
      </c>
      <c r="F101" s="302"/>
      <c r="G101" s="363"/>
      <c r="H101" s="286"/>
    </row>
    <row r="102" spans="1:10" ht="19.5" customHeight="1" x14ac:dyDescent="0.3">
      <c r="C102" s="366" t="s">
        <v>80</v>
      </c>
      <c r="D102" s="367">
        <f>D101/B34</f>
        <v>500</v>
      </c>
      <c r="F102" s="306"/>
      <c r="G102" s="363"/>
      <c r="H102" s="286"/>
      <c r="J102" s="368"/>
    </row>
    <row r="103" spans="1:10" ht="18.75" x14ac:dyDescent="0.3">
      <c r="C103" s="369" t="s">
        <v>115</v>
      </c>
      <c r="D103" s="370" t="e">
        <f>AVERAGE(E91:E94,G91:G94)</f>
        <v>#DIV/0!</v>
      </c>
      <c r="F103" s="306"/>
      <c r="G103" s="371"/>
      <c r="H103" s="286"/>
      <c r="J103" s="372"/>
    </row>
    <row r="104" spans="1:10" ht="18.75" x14ac:dyDescent="0.3">
      <c r="C104" s="336" t="s">
        <v>82</v>
      </c>
      <c r="D104" s="373" t="e">
        <f>STDEV(E91:E94,G91:G94)/D103</f>
        <v>#DIV/0!</v>
      </c>
      <c r="F104" s="306"/>
      <c r="G104" s="363"/>
      <c r="H104" s="286"/>
      <c r="J104" s="372"/>
    </row>
    <row r="105" spans="1:10" ht="19.5" customHeight="1" x14ac:dyDescent="0.3">
      <c r="C105" s="338" t="s">
        <v>19</v>
      </c>
      <c r="D105" s="374">
        <f>COUNT(E91:E94,G91:G94)</f>
        <v>0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116</v>
      </c>
      <c r="B107" s="259">
        <v>1</v>
      </c>
      <c r="C107" s="375" t="s">
        <v>117</v>
      </c>
      <c r="D107" s="376" t="s">
        <v>61</v>
      </c>
      <c r="E107" s="377" t="s">
        <v>118</v>
      </c>
      <c r="F107" s="378" t="s">
        <v>119</v>
      </c>
    </row>
    <row r="108" spans="1:10" ht="26.25" customHeight="1" x14ac:dyDescent="0.4">
      <c r="A108" s="260" t="s">
        <v>120</v>
      </c>
      <c r="B108" s="261">
        <v>1</v>
      </c>
      <c r="C108" s="379">
        <v>1</v>
      </c>
      <c r="D108" s="380"/>
      <c r="E108" s="411" t="str">
        <f t="shared" ref="E108:E113" si="1">IF(ISBLANK(D108),"-",D108/$D$103*$D$100*$B$116)</f>
        <v>-</v>
      </c>
      <c r="F108" s="381" t="str">
        <f t="shared" ref="F108:F113" si="2">IF(ISBLANK(D108), "-", E108/$B$56)</f>
        <v>-</v>
      </c>
    </row>
    <row r="109" spans="1:10" ht="26.25" customHeight="1" x14ac:dyDescent="0.4">
      <c r="A109" s="260" t="s">
        <v>93</v>
      </c>
      <c r="B109" s="261">
        <v>1</v>
      </c>
      <c r="C109" s="379">
        <v>2</v>
      </c>
      <c r="D109" s="380"/>
      <c r="E109" s="412" t="str">
        <f t="shared" si="1"/>
        <v>-</v>
      </c>
      <c r="F109" s="382" t="str">
        <f t="shared" si="2"/>
        <v>-</v>
      </c>
    </row>
    <row r="110" spans="1:10" ht="26.25" customHeight="1" x14ac:dyDescent="0.4">
      <c r="A110" s="260" t="s">
        <v>94</v>
      </c>
      <c r="B110" s="261">
        <v>1</v>
      </c>
      <c r="C110" s="379">
        <v>3</v>
      </c>
      <c r="D110" s="380"/>
      <c r="E110" s="412" t="str">
        <f t="shared" si="1"/>
        <v>-</v>
      </c>
      <c r="F110" s="382" t="str">
        <f t="shared" si="2"/>
        <v>-</v>
      </c>
    </row>
    <row r="111" spans="1:10" ht="26.25" customHeight="1" x14ac:dyDescent="0.4">
      <c r="A111" s="260" t="s">
        <v>95</v>
      </c>
      <c r="B111" s="261">
        <v>1</v>
      </c>
      <c r="C111" s="379">
        <v>4</v>
      </c>
      <c r="D111" s="380"/>
      <c r="E111" s="412" t="str">
        <f t="shared" si="1"/>
        <v>-</v>
      </c>
      <c r="F111" s="382" t="str">
        <f t="shared" si="2"/>
        <v>-</v>
      </c>
    </row>
    <row r="112" spans="1:10" ht="26.25" customHeight="1" x14ac:dyDescent="0.4">
      <c r="A112" s="260" t="s">
        <v>96</v>
      </c>
      <c r="B112" s="261">
        <v>1</v>
      </c>
      <c r="C112" s="379">
        <v>5</v>
      </c>
      <c r="D112" s="380"/>
      <c r="E112" s="412" t="str">
        <f t="shared" si="1"/>
        <v>-</v>
      </c>
      <c r="F112" s="382" t="str">
        <f t="shared" si="2"/>
        <v>-</v>
      </c>
    </row>
    <row r="113" spans="1:10" ht="26.25" customHeight="1" x14ac:dyDescent="0.4">
      <c r="A113" s="260" t="s">
        <v>98</v>
      </c>
      <c r="B113" s="261">
        <v>1</v>
      </c>
      <c r="C113" s="383">
        <v>6</v>
      </c>
      <c r="D113" s="384"/>
      <c r="E113" s="413" t="str">
        <f t="shared" si="1"/>
        <v>-</v>
      </c>
      <c r="F113" s="385" t="str">
        <f t="shared" si="2"/>
        <v>-</v>
      </c>
    </row>
    <row r="114" spans="1:10" ht="26.25" customHeight="1" x14ac:dyDescent="0.4">
      <c r="A114" s="260" t="s">
        <v>99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100</v>
      </c>
      <c r="B115" s="261">
        <v>1</v>
      </c>
      <c r="C115" s="379"/>
      <c r="D115" s="387" t="s">
        <v>69</v>
      </c>
      <c r="E115" s="415" t="e">
        <f>AVERAGE(E108:E113)</f>
        <v>#DIV/0!</v>
      </c>
      <c r="F115" s="388" t="e">
        <f>AVERAGE(F108:F113)</f>
        <v>#DIV/0!</v>
      </c>
    </row>
    <row r="116" spans="1:10" ht="27" customHeight="1" x14ac:dyDescent="0.4">
      <c r="A116" s="260" t="s">
        <v>101</v>
      </c>
      <c r="B116" s="292">
        <f>(B115/B114)*(B113/B112)*(B111/B110)*(B109/B108)*B107</f>
        <v>1</v>
      </c>
      <c r="C116" s="389"/>
      <c r="D116" s="352" t="s">
        <v>82</v>
      </c>
      <c r="E116" s="390" t="e">
        <f>STDEV(E108:E113)/E115</f>
        <v>#DIV/0!</v>
      </c>
      <c r="F116" s="390" t="e">
        <f>STDEV(F108:F113)/F115</f>
        <v>#DIV/0!</v>
      </c>
      <c r="I116" s="234"/>
    </row>
    <row r="117" spans="1:10" ht="27" customHeight="1" x14ac:dyDescent="0.4">
      <c r="A117" s="481" t="s">
        <v>76</v>
      </c>
      <c r="B117" s="482"/>
      <c r="C117" s="391"/>
      <c r="D117" s="392" t="s">
        <v>19</v>
      </c>
      <c r="E117" s="393">
        <f>COUNT(E108:E113)</f>
        <v>0</v>
      </c>
      <c r="F117" s="393">
        <f>COUNT(F108:F113)</f>
        <v>0</v>
      </c>
      <c r="I117" s="234"/>
      <c r="J117" s="372"/>
    </row>
    <row r="118" spans="1:10" ht="19.5" customHeight="1" x14ac:dyDescent="0.3">
      <c r="A118" s="483"/>
      <c r="B118" s="484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2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104</v>
      </c>
      <c r="B120" s="340" t="s">
        <v>121</v>
      </c>
      <c r="C120" s="485" t="str">
        <f>B20</f>
        <v xml:space="preserve">sulfadoxine &amp; Pyrimethamine </v>
      </c>
      <c r="D120" s="485"/>
      <c r="E120" s="341" t="s">
        <v>122</v>
      </c>
      <c r="F120" s="341"/>
      <c r="G120" s="342" t="e">
        <f>F115</f>
        <v>#DIV/0!</v>
      </c>
      <c r="H120" s="234"/>
      <c r="I120" s="234"/>
    </row>
    <row r="121" spans="1:10" ht="19.5" customHeight="1" x14ac:dyDescent="0.3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486" t="s">
        <v>24</v>
      </c>
      <c r="C122" s="486"/>
      <c r="E122" s="347" t="s">
        <v>25</v>
      </c>
      <c r="F122" s="396"/>
      <c r="G122" s="486" t="s">
        <v>26</v>
      </c>
      <c r="H122" s="486"/>
    </row>
    <row r="123" spans="1:10" ht="69.95" customHeight="1" x14ac:dyDescent="0.3">
      <c r="A123" s="397" t="s">
        <v>27</v>
      </c>
      <c r="B123" s="398"/>
      <c r="C123" s="398"/>
      <c r="E123" s="398"/>
      <c r="F123" s="234"/>
      <c r="G123" s="399"/>
      <c r="H123" s="399"/>
    </row>
    <row r="124" spans="1:10" ht="69.95" customHeight="1" x14ac:dyDescent="0.3">
      <c r="A124" s="397" t="s">
        <v>28</v>
      </c>
      <c r="B124" s="400"/>
      <c r="C124" s="400"/>
      <c r="E124" s="400"/>
      <c r="F124" s="234"/>
      <c r="G124" s="401"/>
      <c r="H124" s="401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2016-04-04T13:48:59Z</dcterms:modified>
</cp:coreProperties>
</file>