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sulphadoxine" sheetId="3" r:id="rId3"/>
    <sheet name="pyrimethamine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J70" i="3" l="1"/>
  <c r="B42" i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42" i="2" s="1"/>
  <c r="C45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45" i="4"/>
  <c r="D46" i="4" s="1"/>
  <c r="D101" i="4"/>
  <c r="D102" i="4" s="1"/>
  <c r="D97" i="4"/>
  <c r="D98" i="4" s="1"/>
  <c r="F98" i="4"/>
  <c r="D49" i="4"/>
  <c r="I92" i="3"/>
  <c r="D101" i="3"/>
  <c r="F98" i="3"/>
  <c r="D97" i="3"/>
  <c r="D98" i="3" s="1"/>
  <c r="D49" i="3"/>
  <c r="D102" i="3"/>
  <c r="D45" i="3"/>
  <c r="E39" i="3" s="1"/>
  <c r="B69" i="3"/>
  <c r="E38" i="4"/>
  <c r="E41" i="4"/>
  <c r="D41" i="2"/>
  <c r="D26" i="2"/>
  <c r="D34" i="2"/>
  <c r="D38" i="2"/>
  <c r="B49" i="2"/>
  <c r="D50" i="2"/>
  <c r="D27" i="2"/>
  <c r="D31" i="2"/>
  <c r="D35" i="2"/>
  <c r="D39" i="2"/>
  <c r="D43" i="2"/>
  <c r="C49" i="2"/>
  <c r="F44" i="3"/>
  <c r="F45" i="3" s="1"/>
  <c r="F44" i="4"/>
  <c r="F45" i="4" s="1"/>
  <c r="D24" i="2"/>
  <c r="D28" i="2"/>
  <c r="D32" i="2"/>
  <c r="D36" i="2"/>
  <c r="D40" i="2"/>
  <c r="D49" i="2"/>
  <c r="G39" i="3"/>
  <c r="B57" i="3"/>
  <c r="B57" i="4"/>
  <c r="B69" i="4" s="1"/>
  <c r="C50" i="2"/>
  <c r="D30" i="2"/>
  <c r="E40" i="4"/>
  <c r="G92" i="4" l="1"/>
  <c r="E39" i="4"/>
  <c r="G91" i="4"/>
  <c r="F99" i="4"/>
  <c r="G93" i="4"/>
  <c r="G94" i="4"/>
  <c r="E92" i="3"/>
  <c r="E91" i="3"/>
  <c r="G91" i="3"/>
  <c r="G94" i="3"/>
  <c r="E94" i="3"/>
  <c r="F99" i="3"/>
  <c r="G92" i="3"/>
  <c r="G93" i="3"/>
  <c r="E41" i="3"/>
  <c r="E40" i="3"/>
  <c r="E38" i="3"/>
  <c r="D46" i="3"/>
  <c r="G38" i="4"/>
  <c r="G41" i="4"/>
  <c r="F46" i="4"/>
  <c r="G39" i="4"/>
  <c r="D99" i="3"/>
  <c r="E93" i="3"/>
  <c r="G40" i="4"/>
  <c r="G41" i="3"/>
  <c r="F46" i="3"/>
  <c r="D99" i="4"/>
  <c r="E92" i="4"/>
  <c r="E93" i="4"/>
  <c r="E91" i="4"/>
  <c r="G38" i="3"/>
  <c r="E94" i="4"/>
  <c r="G40" i="3"/>
  <c r="E42" i="4"/>
  <c r="G95" i="4" l="1"/>
  <c r="D52" i="4"/>
  <c r="G95" i="3"/>
  <c r="E95" i="3"/>
  <c r="D103" i="3"/>
  <c r="E112" i="3" s="1"/>
  <c r="F112" i="3" s="1"/>
  <c r="E42" i="3"/>
  <c r="G42" i="3"/>
  <c r="D50" i="3"/>
  <c r="G68" i="3" s="1"/>
  <c r="H68" i="3" s="1"/>
  <c r="D105" i="3"/>
  <c r="D52" i="3"/>
  <c r="E95" i="4"/>
  <c r="D105" i="4"/>
  <c r="D103" i="4"/>
  <c r="D50" i="4"/>
  <c r="G42" i="4"/>
  <c r="D104" i="3" l="1"/>
  <c r="E113" i="3"/>
  <c r="F113" i="3" s="1"/>
  <c r="E108" i="3"/>
  <c r="F108" i="3" s="1"/>
  <c r="E109" i="3"/>
  <c r="F109" i="3" s="1"/>
  <c r="E110" i="3"/>
  <c r="F110" i="3" s="1"/>
  <c r="E111" i="3"/>
  <c r="F111" i="3" s="1"/>
  <c r="G60" i="3"/>
  <c r="H60" i="3" s="1"/>
  <c r="G65" i="3"/>
  <c r="H65" i="3" s="1"/>
  <c r="G63" i="3"/>
  <c r="H63" i="3" s="1"/>
  <c r="G66" i="3"/>
  <c r="H66" i="3" s="1"/>
  <c r="G69" i="3"/>
  <c r="H69" i="3" s="1"/>
  <c r="D51" i="3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7" i="3" l="1"/>
  <c r="E115" i="3"/>
  <c r="E116" i="3" s="1"/>
  <c r="G74" i="3"/>
  <c r="G72" i="3"/>
  <c r="G73" i="3" s="1"/>
  <c r="H74" i="3"/>
  <c r="H72" i="3"/>
  <c r="F117" i="3"/>
  <c r="F115" i="3"/>
  <c r="E115" i="4"/>
  <c r="E116" i="4" s="1"/>
  <c r="E117" i="4"/>
  <c r="F108" i="4"/>
  <c r="H60" i="4"/>
  <c r="G74" i="4"/>
  <c r="G72" i="4"/>
  <c r="G73" i="4" s="1"/>
  <c r="H74" i="4" l="1"/>
  <c r="H72" i="4"/>
  <c r="G120" i="3"/>
  <c r="F116" i="3"/>
  <c r="F117" i="4"/>
  <c r="F115" i="4"/>
  <c r="G76" i="3"/>
  <c r="H73" i="3"/>
  <c r="G120" i="4" l="1"/>
  <c r="F116" i="4"/>
  <c r="G76" i="4"/>
  <c r="H73" i="4"/>
</calcChain>
</file>

<file path=xl/sharedStrings.xml><?xml version="1.0" encoding="utf-8"?>
<sst xmlns="http://schemas.openxmlformats.org/spreadsheetml/2006/main" count="396" uniqueCount="129">
  <si>
    <t>HPLC System Suitability Report</t>
  </si>
  <si>
    <t>Analysis Data</t>
  </si>
  <si>
    <t>Assay</t>
  </si>
  <si>
    <t>Sample(s)</t>
  </si>
  <si>
    <t>Reference Substance:</t>
  </si>
  <si>
    <t>Sulfadoxine &amp;Pyrimethamine</t>
  </si>
  <si>
    <t>% age Purity:</t>
  </si>
  <si>
    <t>NDQD201508238</t>
  </si>
  <si>
    <t>Weight (mg):</t>
  </si>
  <si>
    <t>sulfadoxine &amp; Pyrimethamine</t>
  </si>
  <si>
    <t>Standard Conc (mg/mL):</t>
  </si>
  <si>
    <t>sulfadoxine USP 500mg pyrimethamine USP 25mg</t>
  </si>
  <si>
    <t>2015-09-04 10:05:53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</si>
  <si>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</si>
  <si>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</si>
  <si>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</si>
  <si>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</si>
  <si>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</si>
  <si>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</si>
  <si>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</si>
  <si>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</si>
  <si>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</si>
  <si>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</si>
  <si>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</si>
  <si>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</si>
  <si>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</si>
  <si>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</si>
  <si>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</si>
  <si>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</si>
  <si>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</si>
  <si>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</si>
  <si>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</si>
  <si>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</si>
  <si>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</si>
  <si>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</si>
  <si>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</si>
  <si>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</si>
  <si>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</si>
  <si>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</si>
  <si>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</si>
  <si>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</si>
  <si>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</si>
  <si>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</si>
  <si>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</si>
  <si>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</si>
  <si>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</si>
  <si>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</si>
  <si>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</si>
  <si>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</si>
  <si>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</si>
  <si>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</si>
  <si>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</si>
  <si>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</si>
  <si>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</si>
  <si>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</si>
  <si>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</si>
  <si>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</si>
  <si>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</si>
  <si>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</si>
  <si>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</si>
  <si>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</si>
  <si>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</si>
  <si>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</si>
  <si>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</si>
  <si>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</si>
  <si>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</si>
  <si>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</si>
  <si>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</si>
  <si>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</si>
  <si>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</si>
  <si>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</si>
  <si>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</si>
  <si>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</si>
  <si>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</si>
  <si>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</si>
  <si>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</si>
  <si>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</si>
  <si>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</si>
  <si>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</si>
  <si>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</si>
  <si>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</si>
  <si>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</si>
  <si>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</si>
  <si>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</si>
  <si>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</si>
  <si>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</si>
  <si>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</si>
  <si>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</si>
  <si>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</si>
  <si>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</si>
  <si>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</si>
  <si>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</si>
  <si>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</si>
  <si>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</si>
  <si>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</si>
  <si>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</si>
  <si>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</si>
  <si>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</si>
  <si>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</si>
  <si>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</si>
  <si>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</si>
  <si>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</si>
  <si>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</si>
  <si>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</si>
  <si>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</si>
  <si>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</si>
  <si>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</si>
  <si>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</si>
  <si>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</si>
  <si>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</si>
  <si>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</si>
  <si>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</si>
  <si>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</si>
  <si>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</si>
  <si>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</si>
  <si>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</si>
  <si>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</si>
  <si>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</si>
  <si>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</si>
  <si>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</si>
  <si>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</si>
  <si>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</si>
  <si>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</si>
  <si>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</si>
  <si>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</si>
  <si>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NQCL-PRS-P21-1</t>
  </si>
  <si>
    <t>sulphadoxine</t>
  </si>
  <si>
    <t>S18 1</t>
  </si>
  <si>
    <t>sulfadoxine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</si>
</sst>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A58" sqref="A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211079733</v>
      </c>
      <c r="C24" s="18">
        <v>10855.3</v>
      </c>
      <c r="D24" s="19">
        <v>1.05</v>
      </c>
      <c r="E24" s="20">
        <v>9.41</v>
      </c>
    </row>
    <row r="25" spans="1:6" ht="16.5" customHeight="1" x14ac:dyDescent="0.3">
      <c r="A25" s="17">
        <v>2</v>
      </c>
      <c r="B25" s="18">
        <v>211295942</v>
      </c>
      <c r="C25" s="18">
        <v>10880.1</v>
      </c>
      <c r="D25" s="19">
        <v>1.05</v>
      </c>
      <c r="E25" s="19">
        <v>9.43</v>
      </c>
    </row>
    <row r="26" spans="1:6" ht="16.5" customHeight="1" x14ac:dyDescent="0.3">
      <c r="A26" s="17">
        <v>3</v>
      </c>
      <c r="B26" s="18">
        <v>211258452</v>
      </c>
      <c r="C26" s="18">
        <v>10829.2</v>
      </c>
      <c r="D26" s="19">
        <v>1.04</v>
      </c>
      <c r="E26" s="19">
        <v>9.43</v>
      </c>
    </row>
    <row r="27" spans="1:6" ht="16.5" customHeight="1" x14ac:dyDescent="0.3">
      <c r="A27" s="17">
        <v>4</v>
      </c>
      <c r="B27" s="18">
        <v>211090359</v>
      </c>
      <c r="C27" s="18">
        <v>10845.3</v>
      </c>
      <c r="D27" s="19">
        <v>1.04</v>
      </c>
      <c r="E27" s="19">
        <v>9.42</v>
      </c>
    </row>
    <row r="28" spans="1:6" ht="16.5" customHeight="1" x14ac:dyDescent="0.3">
      <c r="A28" s="17">
        <v>5</v>
      </c>
      <c r="B28" s="18">
        <v>211532899</v>
      </c>
      <c r="C28" s="18">
        <v>10807.7</v>
      </c>
      <c r="D28" s="19">
        <v>1.06</v>
      </c>
      <c r="E28" s="19">
        <v>9.42</v>
      </c>
    </row>
    <row r="29" spans="1:6" ht="16.5" customHeight="1" x14ac:dyDescent="0.3">
      <c r="A29" s="17">
        <v>6</v>
      </c>
      <c r="B29" s="21">
        <v>211290030</v>
      </c>
      <c r="C29" s="21">
        <v>10820.1</v>
      </c>
      <c r="D29" s="22">
        <v>1.05</v>
      </c>
      <c r="E29" s="22">
        <v>9.41</v>
      </c>
    </row>
    <row r="30" spans="1:6" ht="16.5" customHeight="1" x14ac:dyDescent="0.3">
      <c r="A30" s="23" t="s">
        <v>18</v>
      </c>
      <c r="B30" s="24">
        <f>AVERAGE(B24:B29)</f>
        <v>211257902.5</v>
      </c>
      <c r="C30" s="25">
        <f>AVERAGE(C24:C29)</f>
        <v>10839.616666666667</v>
      </c>
      <c r="D30" s="26">
        <f>AVERAGE(D24:D29)</f>
        <v>1.0483333333333333</v>
      </c>
      <c r="E30" s="26">
        <f>AVERAGE(E24:E29)</f>
        <v>9.42</v>
      </c>
    </row>
    <row r="31" spans="1:6" ht="16.5" customHeight="1" x14ac:dyDescent="0.3">
      <c r="A31" s="27" t="s">
        <v>19</v>
      </c>
      <c r="B31" s="28">
        <f>(STDEV(B24:B29)/B30)</f>
        <v>7.8616212873749178E-4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2.1499999999999998E-2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7253788</v>
      </c>
      <c r="C45" s="18">
        <v>4009.8</v>
      </c>
      <c r="D45" s="19">
        <v>1.72</v>
      </c>
      <c r="E45" s="20">
        <v>7.3</v>
      </c>
    </row>
    <row r="46" spans="1:6" ht="16.5" customHeight="1" x14ac:dyDescent="0.3">
      <c r="A46" s="17">
        <v>2</v>
      </c>
      <c r="B46" s="18">
        <v>7332666</v>
      </c>
      <c r="C46" s="18">
        <v>4014.8</v>
      </c>
      <c r="D46" s="19">
        <v>1.72</v>
      </c>
      <c r="E46" s="19">
        <v>7.29</v>
      </c>
    </row>
    <row r="47" spans="1:6" ht="16.5" customHeight="1" x14ac:dyDescent="0.3">
      <c r="A47" s="17">
        <v>3</v>
      </c>
      <c r="B47" s="18">
        <v>7346783</v>
      </c>
      <c r="C47" s="18">
        <v>3990.8</v>
      </c>
      <c r="D47" s="19">
        <v>1.71</v>
      </c>
      <c r="E47" s="19">
        <v>7.26</v>
      </c>
    </row>
    <row r="48" spans="1:6" ht="16.5" customHeight="1" x14ac:dyDescent="0.3">
      <c r="A48" s="17">
        <v>4</v>
      </c>
      <c r="B48" s="18">
        <v>7372877</v>
      </c>
      <c r="C48" s="18">
        <v>3995.9</v>
      </c>
      <c r="D48" s="19">
        <v>1.69</v>
      </c>
      <c r="E48" s="19">
        <v>7.23</v>
      </c>
    </row>
    <row r="49" spans="1:7" ht="16.5" customHeight="1" x14ac:dyDescent="0.3">
      <c r="A49" s="17">
        <v>5</v>
      </c>
      <c r="B49" s="18">
        <v>7391175</v>
      </c>
      <c r="C49" s="18">
        <v>3993.3</v>
      </c>
      <c r="D49" s="19">
        <v>1.69</v>
      </c>
      <c r="E49" s="19">
        <v>7.21</v>
      </c>
    </row>
    <row r="50" spans="1:7" ht="16.5" customHeight="1" x14ac:dyDescent="0.3">
      <c r="A50" s="17">
        <v>6</v>
      </c>
      <c r="B50" s="21">
        <v>7389305</v>
      </c>
      <c r="C50" s="21">
        <v>3991.9</v>
      </c>
      <c r="D50" s="22">
        <v>1.71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7347765.666666667</v>
      </c>
      <c r="C51" s="25">
        <f>AVERAGE(C45:C50)</f>
        <v>3999.4166666666674</v>
      </c>
      <c r="D51" s="26">
        <f>AVERAGE(D45:D50)</f>
        <v>1.7066666666666663</v>
      </c>
      <c r="E51" s="26">
        <f>AVERAGE(E45:E50)</f>
        <v>7.248333333333334</v>
      </c>
    </row>
    <row r="52" spans="1:7" ht="16.5" customHeight="1" x14ac:dyDescent="0.3">
      <c r="A52" s="27" t="s">
        <v>19</v>
      </c>
      <c r="B52" s="28">
        <f>(STDEV(B45:B50)/B51)</f>
        <v>7.0194914479943171E-3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">
        <v>12</v>
      </c>
    </row>
    <row r="19" spans="1:5" ht="16.5" customHeight="1" x14ac:dyDescent="0.3">
      <c r="A19" s="472" t="s">
        <v>37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637.53</v>
      </c>
      <c r="D24" s="87">
        <f t="shared" ref="D24:D43" si="0">(C24-$C$46)/$C$46</f>
        <v>-3.8645390691207891E-2</v>
      </c>
      <c r="E24" s="53"/>
    </row>
    <row r="25" spans="1:5" ht="15.75" customHeight="1" x14ac:dyDescent="0.3">
      <c r="C25" s="95">
        <v>658.92</v>
      </c>
      <c r="D25" s="88">
        <f t="shared" si="0"/>
        <v>-6.3906339062486713E-3</v>
      </c>
      <c r="E25" s="53"/>
    </row>
    <row r="26" spans="1:5" ht="15.75" customHeight="1" x14ac:dyDescent="0.3">
      <c r="C26" s="95">
        <v>662.95</v>
      </c>
      <c r="D26" s="88">
        <f t="shared" si="0"/>
        <v>-3.1365074386491601E-4</v>
      </c>
      <c r="E26" s="53"/>
    </row>
    <row r="27" spans="1:5" ht="15.75" customHeight="1" x14ac:dyDescent="0.3">
      <c r="C27" s="95">
        <v>660.27</v>
      </c>
      <c r="D27" s="88">
        <f t="shared" si="0"/>
        <v>-4.3549199436635514E-3</v>
      </c>
      <c r="E27" s="53"/>
    </row>
    <row r="28" spans="1:5" ht="15.75" customHeight="1" x14ac:dyDescent="0.3">
      <c r="C28" s="95">
        <v>663.49</v>
      </c>
      <c r="D28" s="88">
        <f t="shared" si="0"/>
        <v>5.0063484116906324E-4</v>
      </c>
      <c r="E28" s="53"/>
    </row>
    <row r="29" spans="1:5" ht="15.75" customHeight="1" x14ac:dyDescent="0.3">
      <c r="C29" s="95">
        <v>673.45</v>
      </c>
      <c r="D29" s="88">
        <f t="shared" si="0"/>
        <v>1.5519680076241302E-2</v>
      </c>
      <c r="E29" s="53"/>
    </row>
    <row r="30" spans="1:5" ht="15.75" customHeight="1" x14ac:dyDescent="0.3">
      <c r="C30" s="95">
        <v>676.37</v>
      </c>
      <c r="D30" s="88">
        <f t="shared" si="0"/>
        <v>1.9922853980499353E-2</v>
      </c>
      <c r="E30" s="53"/>
    </row>
    <row r="31" spans="1:5" ht="15.75" customHeight="1" x14ac:dyDescent="0.3">
      <c r="C31" s="95">
        <v>656.28</v>
      </c>
      <c r="D31" s="88">
        <f t="shared" si="0"/>
        <v>-1.0371585655303928E-2</v>
      </c>
      <c r="E31" s="53"/>
    </row>
    <row r="32" spans="1:5" ht="15.75" customHeight="1" x14ac:dyDescent="0.3">
      <c r="C32" s="95">
        <v>643.63</v>
      </c>
      <c r="D32" s="88">
        <f t="shared" si="0"/>
        <v>-2.9446979452860435E-2</v>
      </c>
      <c r="E32" s="53"/>
    </row>
    <row r="33" spans="1:7" ht="15.75" customHeight="1" x14ac:dyDescent="0.3">
      <c r="C33" s="95">
        <v>654.47</v>
      </c>
      <c r="D33" s="88">
        <f t="shared" si="0"/>
        <v>-1.3100950301436442E-2</v>
      </c>
      <c r="E33" s="53"/>
    </row>
    <row r="34" spans="1:7" ht="15.75" customHeight="1" x14ac:dyDescent="0.3">
      <c r="C34" s="95">
        <v>674.17</v>
      </c>
      <c r="D34" s="88">
        <f t="shared" si="0"/>
        <v>1.6605394189619885E-2</v>
      </c>
      <c r="E34" s="53"/>
    </row>
    <row r="35" spans="1:7" ht="15.75" customHeight="1" x14ac:dyDescent="0.3">
      <c r="C35" s="95">
        <v>657.48</v>
      </c>
      <c r="D35" s="88">
        <f t="shared" si="0"/>
        <v>-8.562062133006006E-3</v>
      </c>
      <c r="E35" s="53"/>
    </row>
    <row r="36" spans="1:7" ht="15.75" customHeight="1" x14ac:dyDescent="0.3">
      <c r="C36" s="95">
        <v>665.24</v>
      </c>
      <c r="D36" s="88">
        <f t="shared" si="0"/>
        <v>3.1395233111867664E-3</v>
      </c>
      <c r="E36" s="53"/>
    </row>
    <row r="37" spans="1:7" ht="15.75" customHeight="1" x14ac:dyDescent="0.3">
      <c r="C37" s="95">
        <v>681.56</v>
      </c>
      <c r="D37" s="88">
        <f t="shared" si="0"/>
        <v>2.7749043214437479E-2</v>
      </c>
      <c r="E37" s="53"/>
    </row>
    <row r="38" spans="1:7" ht="15.75" customHeight="1" x14ac:dyDescent="0.3">
      <c r="C38" s="95">
        <v>672.6</v>
      </c>
      <c r="D38" s="88">
        <f t="shared" si="0"/>
        <v>1.4237934247946955E-2</v>
      </c>
      <c r="E38" s="53"/>
    </row>
    <row r="39" spans="1:7" ht="15.75" customHeight="1" x14ac:dyDescent="0.3">
      <c r="C39" s="95">
        <v>663.63</v>
      </c>
      <c r="D39" s="88">
        <f t="shared" si="0"/>
        <v>7.1174591877045887E-4</v>
      </c>
      <c r="E39" s="53"/>
    </row>
    <row r="40" spans="1:7" ht="15.75" customHeight="1" x14ac:dyDescent="0.3">
      <c r="C40" s="95">
        <v>674.24</v>
      </c>
      <c r="D40" s="88">
        <f t="shared" si="0"/>
        <v>1.6710949728420667E-2</v>
      </c>
      <c r="E40" s="53"/>
    </row>
    <row r="41" spans="1:7" ht="15.75" customHeight="1" x14ac:dyDescent="0.3">
      <c r="C41" s="95">
        <v>652.5</v>
      </c>
      <c r="D41" s="88">
        <f t="shared" si="0"/>
        <v>-1.6071584750542125E-2</v>
      </c>
      <c r="E41" s="53"/>
    </row>
    <row r="42" spans="1:7" ht="15.75" customHeight="1" x14ac:dyDescent="0.3">
      <c r="C42" s="95">
        <v>658.37</v>
      </c>
      <c r="D42" s="88">
        <f t="shared" si="0"/>
        <v>-7.2199988539684524E-3</v>
      </c>
      <c r="E42" s="53"/>
    </row>
    <row r="43" spans="1:7" ht="16.5" customHeight="1" x14ac:dyDescent="0.3">
      <c r="C43" s="96">
        <v>676.01</v>
      </c>
      <c r="D43" s="89">
        <f t="shared" si="0"/>
        <v>1.9379996923809973E-2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13263.16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663.15800000000002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663.15800000000002</v>
      </c>
      <c r="C49" s="93">
        <f>-IF(C46&lt;=80,10%,IF(C46&lt;250,7.5%,5%))</f>
        <v>-0.05</v>
      </c>
      <c r="D49" s="81">
        <f>IF(C46&lt;=80,C46*0.9,IF(C46&lt;250,C46*0.925,C46*0.95))</f>
        <v>630.00009999999997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696.31590000000006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2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6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128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126</v>
      </c>
      <c r="C26" s="473"/>
    </row>
    <row r="27" spans="1:14" ht="26.25" customHeight="1" x14ac:dyDescent="0.4">
      <c r="A27" s="109" t="s">
        <v>47</v>
      </c>
      <c r="B27" s="479" t="s">
        <v>127</v>
      </c>
      <c r="C27" s="47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0" t="s">
        <v>49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3" t="s">
        <v>52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3" t="s">
        <v>54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6" t="s">
        <v>58</v>
      </c>
      <c r="E36" s="487"/>
      <c r="F36" s="486" t="s">
        <v>59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314">
        <v>209363826</v>
      </c>
      <c r="E38" s="132">
        <f>IF(ISBLANK(D38),"-",$D$48/$D$45*D38)</f>
        <v>218191982.71670941</v>
      </c>
      <c r="F38" s="314">
        <v>223746692</v>
      </c>
      <c r="G38" s="133">
        <f>IF(ISBLANK(F38),"-",$D$48/$F$45*F38)</f>
        <v>213203867.36093539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5">
        <v>2</v>
      </c>
      <c r="D39" s="319">
        <v>211444489</v>
      </c>
      <c r="E39" s="137">
        <f>IF(ISBLANK(D39),"-",$D$48/$D$45*D39)</f>
        <v>220360380.16152537</v>
      </c>
      <c r="F39" s="319">
        <v>224485189</v>
      </c>
      <c r="G39" s="138">
        <f>IF(ISBLANK(F39),"-",$D$48/$F$45*F39)</f>
        <v>213907566.77667668</v>
      </c>
      <c r="I39" s="490">
        <f>ABS((F43/D43*D42)-F42)/D42</f>
        <v>2.7992994544565296E-2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5">
        <v>3</v>
      </c>
      <c r="D40" s="319">
        <v>210562279</v>
      </c>
      <c r="E40" s="137">
        <f>IF(ISBLANK(D40),"-",$D$48/$D$45*D40)</f>
        <v>219440970.38214684</v>
      </c>
      <c r="F40" s="319">
        <v>224624940</v>
      </c>
      <c r="G40" s="138">
        <f>IF(ISBLANK(F40),"-",$D$48/$F$45*F40)</f>
        <v>214040732.78418824</v>
      </c>
      <c r="I40" s="490"/>
      <c r="L40" s="117"/>
      <c r="M40" s="117"/>
      <c r="N40" s="139"/>
    </row>
    <row r="41" spans="1:14" ht="27" customHeight="1" x14ac:dyDescent="0.4">
      <c r="A41" s="124" t="s">
        <v>68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69</v>
      </c>
      <c r="B42" s="125">
        <v>1</v>
      </c>
      <c r="C42" s="145" t="s">
        <v>70</v>
      </c>
      <c r="D42" s="146">
        <f>AVERAGE(D38:D41)</f>
        <v>210456864.66666666</v>
      </c>
      <c r="E42" s="147">
        <f>AVERAGE(E38:E41)</f>
        <v>219331111.08679387</v>
      </c>
      <c r="F42" s="146">
        <f>AVERAGE(F38:F41)</f>
        <v>224285607</v>
      </c>
      <c r="G42" s="148">
        <f>AVERAGE(G38:G41)</f>
        <v>213717388.97393346</v>
      </c>
      <c r="H42" s="149"/>
    </row>
    <row r="43" spans="1:14" ht="26.25" customHeight="1" x14ac:dyDescent="0.4">
      <c r="A43" s="124" t="s">
        <v>71</v>
      </c>
      <c r="B43" s="125">
        <v>1</v>
      </c>
      <c r="C43" s="150" t="s">
        <v>72</v>
      </c>
      <c r="D43" s="151">
        <v>19.21</v>
      </c>
      <c r="E43" s="139"/>
      <c r="F43" s="151">
        <v>21.01</v>
      </c>
      <c r="H43" s="149"/>
    </row>
    <row r="44" spans="1:14" ht="26.25" customHeight="1" x14ac:dyDescent="0.4">
      <c r="A44" s="124" t="s">
        <v>73</v>
      </c>
      <c r="B44" s="125">
        <v>1</v>
      </c>
      <c r="C44" s="152" t="s">
        <v>74</v>
      </c>
      <c r="D44" s="153">
        <f>D43*$B$34</f>
        <v>19.21</v>
      </c>
      <c r="E44" s="154"/>
      <c r="F44" s="153">
        <f>F43*$B$34</f>
        <v>21.01</v>
      </c>
      <c r="H44" s="149"/>
    </row>
    <row r="45" spans="1:14" ht="19.5" customHeight="1" x14ac:dyDescent="0.3">
      <c r="A45" s="124" t="s">
        <v>75</v>
      </c>
      <c r="B45" s="155">
        <f>(B44/B43)*(B42/B41)*(B40/B39)*(B38/B37)*B36</f>
        <v>50</v>
      </c>
      <c r="C45" s="152" t="s">
        <v>76</v>
      </c>
      <c r="D45" s="156">
        <f>D44*$B$30/100</f>
        <v>19.190790000000003</v>
      </c>
      <c r="E45" s="157"/>
      <c r="F45" s="156">
        <f>F44*$B$30/100</f>
        <v>20.988990000000005</v>
      </c>
      <c r="H45" s="149"/>
    </row>
    <row r="46" spans="1:14" ht="19.5" customHeight="1" x14ac:dyDescent="0.3">
      <c r="A46" s="491" t="s">
        <v>77</v>
      </c>
      <c r="B46" s="492"/>
      <c r="C46" s="152" t="s">
        <v>78</v>
      </c>
      <c r="D46" s="158">
        <f>D45/$B$45</f>
        <v>0.38381580000000004</v>
      </c>
      <c r="E46" s="159"/>
      <c r="F46" s="160">
        <f>F45/$B$45</f>
        <v>0.41977980000000009</v>
      </c>
      <c r="H46" s="149"/>
    </row>
    <row r="47" spans="1:14" ht="27" customHeight="1" x14ac:dyDescent="0.4">
      <c r="A47" s="493"/>
      <c r="B47" s="494"/>
      <c r="C47" s="161" t="s">
        <v>79</v>
      </c>
      <c r="D47" s="162">
        <v>0.4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49"/>
    </row>
    <row r="50" spans="1:12" ht="18.75" x14ac:dyDescent="0.3">
      <c r="C50" s="122" t="s">
        <v>82</v>
      </c>
      <c r="D50" s="168">
        <f>AVERAGE(E38:E41,G38:G41)</f>
        <v>216524250.03036365</v>
      </c>
      <c r="F50" s="169"/>
      <c r="H50" s="149"/>
    </row>
    <row r="51" spans="1:12" ht="18.75" x14ac:dyDescent="0.3">
      <c r="C51" s="124" t="s">
        <v>83</v>
      </c>
      <c r="D51" s="170">
        <f>STDEV(E38:E41,G38:G41)/D50</f>
        <v>1.4611198044440719E-2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sulfadoxine USP 500mg pyrimethamine USP 25mg</v>
      </c>
    </row>
    <row r="56" spans="1:12" ht="26.25" customHeight="1" x14ac:dyDescent="0.4">
      <c r="A56" s="176" t="s">
        <v>86</v>
      </c>
      <c r="B56" s="177">
        <v>500</v>
      </c>
      <c r="C56" s="99" t="str">
        <f>B20</f>
        <v>sulfadoxine</v>
      </c>
      <c r="H56" s="178"/>
    </row>
    <row r="57" spans="1:12" ht="18.75" x14ac:dyDescent="0.3">
      <c r="A57" s="175" t="s">
        <v>87</v>
      </c>
      <c r="B57" s="267">
        <f>Uniformity!C46</f>
        <v>663.15800000000002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5" t="s">
        <v>93</v>
      </c>
      <c r="D60" s="498">
        <v>659.08</v>
      </c>
      <c r="E60" s="181">
        <v>1</v>
      </c>
      <c r="F60" s="182">
        <v>200949169</v>
      </c>
      <c r="G60" s="268">
        <f>IF(ISBLANK(F60),"-",(F60/$D$50*$D$47*$B$68)*($B$57/$D$60))</f>
        <v>466.90503355504239</v>
      </c>
      <c r="H60" s="183">
        <f t="shared" ref="H60:H71" si="0">IF(ISBLANK(F60),"-",G60/$B$56)</f>
        <v>0.93381006711008474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4">
        <v>2</v>
      </c>
      <c r="F61" s="136">
        <v>203684995</v>
      </c>
      <c r="G61" s="269">
        <f>IF(ISBLANK(F61),"-",(F61/$D$50*$D$47*$B$68)*($B$57/$D$60))</f>
        <v>473.26172035642327</v>
      </c>
      <c r="H61" s="185">
        <f t="shared" si="0"/>
        <v>0.94652344071284655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4">
        <v>3</v>
      </c>
      <c r="F62" s="186">
        <v>199334315</v>
      </c>
      <c r="G62" s="269">
        <f>IF(ISBLANK(F62),"-",(F62/$D$50*$D$47*$B$68)*($B$57/$D$60))</f>
        <v>463.15292318400373</v>
      </c>
      <c r="H62" s="185">
        <f t="shared" si="0"/>
        <v>0.9263058463680075</v>
      </c>
      <c r="L62" s="112"/>
    </row>
    <row r="63" spans="1:12" ht="27" customHeight="1" x14ac:dyDescent="0.4">
      <c r="A63" s="124" t="s">
        <v>96</v>
      </c>
      <c r="B63" s="125">
        <v>1</v>
      </c>
      <c r="C63" s="497"/>
      <c r="D63" s="500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662.85</v>
      </c>
      <c r="E64" s="181">
        <v>1</v>
      </c>
      <c r="F64" s="182">
        <v>208473758</v>
      </c>
      <c r="G64" s="270">
        <f>IF(ISBLANK(F64),"-",(F64/$D$50*$D$47*$B$68)*($B$57/$D$64))</f>
        <v>481.63341386604685</v>
      </c>
      <c r="H64" s="189">
        <f t="shared" si="0"/>
        <v>0.96326682773209371</v>
      </c>
    </row>
    <row r="65" spans="1:10" ht="26.25" customHeight="1" x14ac:dyDescent="0.4">
      <c r="A65" s="124" t="s">
        <v>99</v>
      </c>
      <c r="B65" s="125">
        <v>1</v>
      </c>
      <c r="C65" s="496"/>
      <c r="D65" s="499"/>
      <c r="E65" s="184">
        <v>2</v>
      </c>
      <c r="F65" s="136">
        <v>209881671</v>
      </c>
      <c r="G65" s="271">
        <f>IF(ISBLANK(F65),"-",(F65/$D$50*$D$47*$B$68)*($B$57/$D$64))</f>
        <v>484.88609157052997</v>
      </c>
      <c r="H65" s="190">
        <f t="shared" si="0"/>
        <v>0.96977218314105995</v>
      </c>
    </row>
    <row r="66" spans="1:10" ht="26.25" customHeight="1" x14ac:dyDescent="0.4">
      <c r="A66" s="124" t="s">
        <v>100</v>
      </c>
      <c r="B66" s="125">
        <v>1</v>
      </c>
      <c r="C66" s="496"/>
      <c r="D66" s="499"/>
      <c r="E66" s="184">
        <v>3</v>
      </c>
      <c r="F66" s="136">
        <v>203662807</v>
      </c>
      <c r="G66" s="271">
        <f>IF(ISBLANK(F66),"-",(F66/$D$50*$D$47*$B$68)*($B$57/$D$64))</f>
        <v>470.51875475354473</v>
      </c>
      <c r="H66" s="190">
        <f t="shared" si="0"/>
        <v>0.94103750950708942</v>
      </c>
    </row>
    <row r="67" spans="1:10" ht="27" customHeight="1" x14ac:dyDescent="0.4">
      <c r="A67" s="124" t="s">
        <v>101</v>
      </c>
      <c r="B67" s="125">
        <v>1</v>
      </c>
      <c r="C67" s="497"/>
      <c r="D67" s="500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10" ht="26.25" customHeight="1" x14ac:dyDescent="0.4">
      <c r="A68" s="124" t="s">
        <v>102</v>
      </c>
      <c r="B68" s="192">
        <f>(B67/B66)*(B65/B64)*(B63/B62)*(B61/B60)*B59</f>
        <v>1250</v>
      </c>
      <c r="C68" s="495" t="s">
        <v>103</v>
      </c>
      <c r="D68" s="498">
        <v>675.27</v>
      </c>
      <c r="E68" s="181">
        <v>1</v>
      </c>
      <c r="F68" s="182"/>
      <c r="G68" s="270" t="str">
        <f>IF(ISBLANK(F68),"-",(F68/$D$50*$D$47*$B$68)*($B$57/$D$68))</f>
        <v>-</v>
      </c>
      <c r="H68" s="185" t="str">
        <f t="shared" si="0"/>
        <v>-</v>
      </c>
    </row>
    <row r="69" spans="1:10" ht="27" customHeight="1" x14ac:dyDescent="0.4">
      <c r="A69" s="171" t="s">
        <v>104</v>
      </c>
      <c r="B69" s="193">
        <f>(D47*B68)/B56*B57</f>
        <v>663.15800000000002</v>
      </c>
      <c r="C69" s="496"/>
      <c r="D69" s="499"/>
      <c r="E69" s="184">
        <v>2</v>
      </c>
      <c r="F69" s="136"/>
      <c r="G69" s="271" t="str">
        <f>IF(ISBLANK(F69),"-",(F69/$D$50*$D$47*$B$68)*($B$57/$D$68))</f>
        <v>-</v>
      </c>
      <c r="H69" s="185" t="str">
        <f t="shared" si="0"/>
        <v>-</v>
      </c>
    </row>
    <row r="70" spans="1:10" ht="26.25" customHeight="1" x14ac:dyDescent="0.4">
      <c r="A70" s="508" t="s">
        <v>77</v>
      </c>
      <c r="B70" s="509"/>
      <c r="C70" s="496"/>
      <c r="D70" s="499"/>
      <c r="E70" s="184">
        <v>3</v>
      </c>
      <c r="F70" s="136"/>
      <c r="G70" s="271" t="str">
        <f>IF(ISBLANK(F70),"-",(F70/$D$50*$D$47*$B$68)*($B$57/$D$68))</f>
        <v>-</v>
      </c>
      <c r="H70" s="185" t="str">
        <f t="shared" si="0"/>
        <v>-</v>
      </c>
      <c r="J70" s="2">
        <f>F62/F65*D64</f>
        <v>629.53925451522639</v>
      </c>
    </row>
    <row r="71" spans="1:10" ht="27" customHeight="1" x14ac:dyDescent="0.4">
      <c r="A71" s="510"/>
      <c r="B71" s="511"/>
      <c r="C71" s="507"/>
      <c r="D71" s="500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10" ht="26.25" customHeight="1" x14ac:dyDescent="0.4">
      <c r="A72" s="195"/>
      <c r="B72" s="195"/>
      <c r="C72" s="195"/>
      <c r="D72" s="195"/>
      <c r="E72" s="195"/>
      <c r="F72" s="197" t="s">
        <v>70</v>
      </c>
      <c r="G72" s="277">
        <f>AVERAGE(G60:G71)</f>
        <v>473.39298954759846</v>
      </c>
      <c r="H72" s="198">
        <f>AVERAGE(H60:H71)</f>
        <v>0.94678597909519702</v>
      </c>
    </row>
    <row r="73" spans="1:10" ht="26.25" customHeight="1" x14ac:dyDescent="0.4">
      <c r="C73" s="195"/>
      <c r="D73" s="195"/>
      <c r="E73" s="195"/>
      <c r="F73" s="199" t="s">
        <v>83</v>
      </c>
      <c r="G73" s="273">
        <f>STDEV(G60:G71)/G72</f>
        <v>1.7805170847802813E-2</v>
      </c>
      <c r="H73" s="273">
        <f>STDEV(H60:H71)/H72</f>
        <v>1.7805170847802813E-2</v>
      </c>
    </row>
    <row r="74" spans="1:10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6</v>
      </c>
      <c r="H74" s="202">
        <f>COUNT(H60:H71)</f>
        <v>6</v>
      </c>
    </row>
    <row r="76" spans="1:10" ht="26.25" customHeight="1" x14ac:dyDescent="0.4">
      <c r="A76" s="108" t="s">
        <v>105</v>
      </c>
      <c r="B76" s="203" t="s">
        <v>106</v>
      </c>
      <c r="C76" s="503" t="str">
        <f>B20</f>
        <v>sulfadoxine</v>
      </c>
      <c r="D76" s="503"/>
      <c r="E76" s="204" t="s">
        <v>107</v>
      </c>
      <c r="F76" s="204"/>
      <c r="G76" s="205">
        <f>H72</f>
        <v>0.94678597909519702</v>
      </c>
      <c r="H76" s="206"/>
    </row>
    <row r="77" spans="1:10" ht="18.75" x14ac:dyDescent="0.3">
      <c r="A77" s="107" t="s">
        <v>108</v>
      </c>
      <c r="B77" s="107" t="s">
        <v>109</v>
      </c>
    </row>
    <row r="78" spans="1:10" ht="18.75" x14ac:dyDescent="0.3">
      <c r="A78" s="107"/>
      <c r="B78" s="107"/>
    </row>
    <row r="79" spans="1:10" ht="26.25" customHeight="1" x14ac:dyDescent="0.4">
      <c r="A79" s="108" t="s">
        <v>4</v>
      </c>
      <c r="B79" s="489" t="str">
        <f>B26</f>
        <v>sulphadoxine</v>
      </c>
      <c r="C79" s="489"/>
    </row>
    <row r="80" spans="1:10" ht="26.25" customHeight="1" x14ac:dyDescent="0.4">
      <c r="A80" s="109" t="s">
        <v>47</v>
      </c>
      <c r="B80" s="489" t="str">
        <f>B27</f>
        <v>S18 1</v>
      </c>
      <c r="C80" s="489"/>
    </row>
    <row r="81" spans="1:12" ht="27" customHeight="1" x14ac:dyDescent="0.4">
      <c r="A81" s="109" t="s">
        <v>6</v>
      </c>
      <c r="B81" s="207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0" t="s">
        <v>49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3" t="s">
        <v>110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3" t="s">
        <v>111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8" t="s">
        <v>58</v>
      </c>
      <c r="E89" s="209"/>
      <c r="F89" s="486" t="s">
        <v>59</v>
      </c>
      <c r="G89" s="488"/>
    </row>
    <row r="90" spans="1:12" ht="27" customHeight="1" x14ac:dyDescent="0.4">
      <c r="A90" s="124" t="s">
        <v>60</v>
      </c>
      <c r="B90" s="125">
        <v>1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2">
        <v>1</v>
      </c>
      <c r="D91" s="314">
        <v>210631811</v>
      </c>
      <c r="E91" s="132">
        <f>IF(ISBLANK(D91),"-",$D$101/$D$98*D91)</f>
        <v>274391792.88606668</v>
      </c>
      <c r="F91" s="314">
        <v>223278872</v>
      </c>
      <c r="G91" s="133">
        <f>IF(ISBLANK(F91),"-",$D$101/$F$98*F91)</f>
        <v>265947613.48688045</v>
      </c>
      <c r="I91" s="134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9">
        <v>210006951</v>
      </c>
      <c r="E92" s="137">
        <f>IF(ISBLANK(D92),"-",$D$101/$D$98*D92)</f>
        <v>273577782.62385237</v>
      </c>
      <c r="F92" s="319">
        <v>223487878</v>
      </c>
      <c r="G92" s="138">
        <f>IF(ISBLANK(F92),"-",$D$101/$F$98*F92)</f>
        <v>266196560.6730004</v>
      </c>
      <c r="I92" s="490">
        <f>ABS((F96/D96*D95)-F95)/D95</f>
        <v>3.1115060768715383E-2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9">
        <v>211142447</v>
      </c>
      <c r="E93" s="137">
        <f>IF(ISBLANK(D93),"-",$D$101/$D$98*D93)</f>
        <v>275057002.60385317</v>
      </c>
      <c r="F93" s="319">
        <v>224555204</v>
      </c>
      <c r="G93" s="138">
        <f>IF(ISBLANK(F93),"-",$D$101/$F$98*F93)</f>
        <v>267467853.38408369</v>
      </c>
      <c r="I93" s="490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69</v>
      </c>
      <c r="B95" s="125">
        <v>1</v>
      </c>
      <c r="C95" s="215" t="s">
        <v>70</v>
      </c>
      <c r="D95" s="216">
        <f>AVERAGE(D91:D94)</f>
        <v>210593736.33333334</v>
      </c>
      <c r="E95" s="147">
        <f>AVERAGE(E91:E94)</f>
        <v>274342192.70459074</v>
      </c>
      <c r="F95" s="217">
        <f>AVERAGE(F91:F94)</f>
        <v>223773984.66666666</v>
      </c>
      <c r="G95" s="218">
        <f>AVERAGE(G91:G94)</f>
        <v>266537342.51465487</v>
      </c>
    </row>
    <row r="96" spans="1:12" ht="26.25" customHeight="1" x14ac:dyDescent="0.4">
      <c r="A96" s="124" t="s">
        <v>71</v>
      </c>
      <c r="B96" s="110">
        <v>1</v>
      </c>
      <c r="C96" s="219" t="s">
        <v>112</v>
      </c>
      <c r="D96" s="220">
        <v>19.21</v>
      </c>
      <c r="E96" s="139"/>
      <c r="F96" s="151">
        <v>21.01</v>
      </c>
    </row>
    <row r="97" spans="1:10" ht="26.25" customHeight="1" x14ac:dyDescent="0.4">
      <c r="A97" s="124" t="s">
        <v>73</v>
      </c>
      <c r="B97" s="110">
        <v>1</v>
      </c>
      <c r="C97" s="221" t="s">
        <v>113</v>
      </c>
      <c r="D97" s="222">
        <f>D96*$B$87</f>
        <v>19.21</v>
      </c>
      <c r="E97" s="154"/>
      <c r="F97" s="153">
        <f>F96*$B$87</f>
        <v>21.01</v>
      </c>
    </row>
    <row r="98" spans="1:10" ht="19.5" customHeight="1" x14ac:dyDescent="0.3">
      <c r="A98" s="124" t="s">
        <v>75</v>
      </c>
      <c r="B98" s="223">
        <f>(B97/B96)*(B95/B94)*(B93/B92)*(B91/B90)*B89</f>
        <v>50</v>
      </c>
      <c r="C98" s="221" t="s">
        <v>114</v>
      </c>
      <c r="D98" s="224">
        <f>D97*$B$83/100</f>
        <v>19.190790000000003</v>
      </c>
      <c r="E98" s="157"/>
      <c r="F98" s="156">
        <f>F97*$B$83/100</f>
        <v>20.988990000000005</v>
      </c>
    </row>
    <row r="99" spans="1:10" ht="19.5" customHeight="1" x14ac:dyDescent="0.3">
      <c r="A99" s="491" t="s">
        <v>77</v>
      </c>
      <c r="B99" s="505"/>
      <c r="C99" s="221" t="s">
        <v>115</v>
      </c>
      <c r="D99" s="225">
        <f>D98/$B$98</f>
        <v>0.38381580000000004</v>
      </c>
      <c r="E99" s="157"/>
      <c r="F99" s="160">
        <f>F98/$B$98</f>
        <v>0.41977980000000009</v>
      </c>
      <c r="G99" s="226"/>
      <c r="H99" s="149"/>
    </row>
    <row r="100" spans="1:10" ht="19.5" customHeight="1" x14ac:dyDescent="0.3">
      <c r="A100" s="493"/>
      <c r="B100" s="506"/>
      <c r="C100" s="221" t="s">
        <v>79</v>
      </c>
      <c r="D100" s="227">
        <f>$B$56/$B$116</f>
        <v>0.5</v>
      </c>
      <c r="F100" s="165"/>
      <c r="G100" s="228"/>
      <c r="H100" s="149"/>
    </row>
    <row r="101" spans="1:10" ht="18.75" x14ac:dyDescent="0.3">
      <c r="C101" s="221" t="s">
        <v>80</v>
      </c>
      <c r="D101" s="222">
        <f>D100*$B$98</f>
        <v>25</v>
      </c>
      <c r="F101" s="165"/>
      <c r="G101" s="226"/>
      <c r="H101" s="149"/>
    </row>
    <row r="102" spans="1:10" ht="19.5" customHeight="1" x14ac:dyDescent="0.3">
      <c r="C102" s="229" t="s">
        <v>81</v>
      </c>
      <c r="D102" s="230">
        <f>D101/B34</f>
        <v>25</v>
      </c>
      <c r="F102" s="169"/>
      <c r="G102" s="226"/>
      <c r="H102" s="149"/>
      <c r="J102" s="231"/>
    </row>
    <row r="103" spans="1:10" ht="18.75" x14ac:dyDescent="0.3">
      <c r="C103" s="232" t="s">
        <v>116</v>
      </c>
      <c r="D103" s="233">
        <f>AVERAGE(E91:E94,G91:G94)</f>
        <v>270439767.60962278</v>
      </c>
      <c r="F103" s="169"/>
      <c r="G103" s="234"/>
      <c r="H103" s="149"/>
      <c r="J103" s="235"/>
    </row>
    <row r="104" spans="1:10" ht="18.75" x14ac:dyDescent="0.3">
      <c r="C104" s="199" t="s">
        <v>83</v>
      </c>
      <c r="D104" s="236">
        <f>STDEV(E91:E94,G91:G94)/D103</f>
        <v>1.6015785547334425E-2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4" t="s">
        <v>121</v>
      </c>
      <c r="B108" s="125">
        <v>1</v>
      </c>
      <c r="C108" s="242">
        <v>1</v>
      </c>
      <c r="D108" s="243">
        <v>236121063</v>
      </c>
      <c r="E108" s="274">
        <f t="shared" ref="E108:E113" si="1">IF(ISBLANK(D108),"-",D108/$D$103*$D$100*$B$116)</f>
        <v>436.55018839691968</v>
      </c>
      <c r="F108" s="244">
        <f t="shared" ref="F108:F113" si="2">IF(ISBLANK(D108), "-", E108/$B$56)</f>
        <v>0.87310037679383934</v>
      </c>
    </row>
    <row r="109" spans="1:10" ht="26.25" customHeight="1" x14ac:dyDescent="0.4">
      <c r="A109" s="124" t="s">
        <v>94</v>
      </c>
      <c r="B109" s="125">
        <v>1</v>
      </c>
      <c r="C109" s="242">
        <v>2</v>
      </c>
      <c r="D109" s="243">
        <v>221970227</v>
      </c>
      <c r="E109" s="275">
        <f t="shared" si="1"/>
        <v>410.38754943838717</v>
      </c>
      <c r="F109" s="245">
        <f t="shared" si="2"/>
        <v>0.82077509887677436</v>
      </c>
    </row>
    <row r="110" spans="1:10" ht="26.25" customHeight="1" x14ac:dyDescent="0.4">
      <c r="A110" s="124" t="s">
        <v>95</v>
      </c>
      <c r="B110" s="125">
        <v>1</v>
      </c>
      <c r="C110" s="242">
        <v>3</v>
      </c>
      <c r="D110" s="243">
        <v>240811877</v>
      </c>
      <c r="E110" s="275">
        <f t="shared" si="1"/>
        <v>445.22275538191127</v>
      </c>
      <c r="F110" s="245">
        <f t="shared" si="2"/>
        <v>0.8904455107638225</v>
      </c>
    </row>
    <row r="111" spans="1:10" ht="26.25" customHeight="1" x14ac:dyDescent="0.4">
      <c r="A111" s="124" t="s">
        <v>96</v>
      </c>
      <c r="B111" s="125">
        <v>1</v>
      </c>
      <c r="C111" s="242">
        <v>4</v>
      </c>
      <c r="D111" s="243">
        <v>232265840</v>
      </c>
      <c r="E111" s="275">
        <f t="shared" si="1"/>
        <v>429.42249590909557</v>
      </c>
      <c r="F111" s="245">
        <f t="shared" si="2"/>
        <v>0.85884499181819118</v>
      </c>
    </row>
    <row r="112" spans="1:10" ht="26.25" customHeight="1" x14ac:dyDescent="0.4">
      <c r="A112" s="124" t="s">
        <v>97</v>
      </c>
      <c r="B112" s="125">
        <v>1</v>
      </c>
      <c r="C112" s="242">
        <v>5</v>
      </c>
      <c r="D112" s="243">
        <v>232186602</v>
      </c>
      <c r="E112" s="275">
        <f t="shared" si="1"/>
        <v>429.27599748414065</v>
      </c>
      <c r="F112" s="245">
        <f t="shared" si="2"/>
        <v>0.85855199496828127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247">
        <v>240804710</v>
      </c>
      <c r="E113" s="276">
        <f t="shared" si="1"/>
        <v>445.20950474191966</v>
      </c>
      <c r="F113" s="248">
        <f t="shared" si="2"/>
        <v>0.89041900948383934</v>
      </c>
    </row>
    <row r="114" spans="1:10" ht="26.25" customHeight="1" x14ac:dyDescent="0.4">
      <c r="A114" s="124" t="s">
        <v>100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101</v>
      </c>
      <c r="B115" s="125">
        <v>1</v>
      </c>
      <c r="C115" s="242"/>
      <c r="D115" s="250" t="s">
        <v>70</v>
      </c>
      <c r="E115" s="278">
        <f>AVERAGE(E108:E113)</f>
        <v>432.67808189206238</v>
      </c>
      <c r="F115" s="251">
        <f>AVERAGE(F108:F113)</f>
        <v>0.86535616378412461</v>
      </c>
    </row>
    <row r="116" spans="1:10" ht="27" customHeight="1" x14ac:dyDescent="0.4">
      <c r="A116" s="124" t="s">
        <v>102</v>
      </c>
      <c r="B116" s="155">
        <f>(B115/B114)*(B113/B112)*(B111/B110)*(B109/B108)*B107</f>
        <v>1000</v>
      </c>
      <c r="C116" s="252"/>
      <c r="D116" s="215" t="s">
        <v>83</v>
      </c>
      <c r="E116" s="253">
        <f>STDEV(E108:E113)/E115</f>
        <v>3.0106518055665568E-2</v>
      </c>
      <c r="F116" s="253">
        <f>STDEV(F108:F113)/F115</f>
        <v>3.0106518055665565E-2</v>
      </c>
      <c r="I116" s="98"/>
    </row>
    <row r="117" spans="1:10" ht="27" customHeight="1" x14ac:dyDescent="0.4">
      <c r="A117" s="491" t="s">
        <v>77</v>
      </c>
      <c r="B117" s="49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93"/>
      <c r="B118" s="494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503" t="str">
        <f>B20</f>
        <v>sulfadoxine</v>
      </c>
      <c r="D120" s="503"/>
      <c r="E120" s="204" t="s">
        <v>123</v>
      </c>
      <c r="F120" s="204"/>
      <c r="G120" s="205">
        <f>F115</f>
        <v>0.86535616378412461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4" t="s">
        <v>25</v>
      </c>
      <c r="C122" s="504"/>
      <c r="E122" s="210" t="s">
        <v>26</v>
      </c>
      <c r="F122" s="259"/>
      <c r="G122" s="504" t="s">
        <v>27</v>
      </c>
      <c r="H122" s="504"/>
    </row>
    <row r="123" spans="1:10" ht="69.95" customHeight="1" x14ac:dyDescent="0.3">
      <c r="A123" s="260" t="s">
        <v>28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29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39" zoomScale="55" zoomScaleNormal="40" zoomScalePageLayoutView="55" workbookViewId="0">
      <selection activeCell="B20" sqref="B20:C2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2" t="s">
        <v>32</v>
      </c>
      <c r="B18" s="473" t="s">
        <v>5</v>
      </c>
      <c r="C18" s="473"/>
      <c r="D18" s="449"/>
      <c r="E18" s="283"/>
      <c r="F18" s="284"/>
      <c r="G18" s="284"/>
      <c r="H18" s="284"/>
    </row>
    <row r="19" spans="1:14" ht="26.25" customHeight="1" x14ac:dyDescent="0.4">
      <c r="A19" s="282" t="s">
        <v>33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34</v>
      </c>
      <c r="B20" s="478" t="s">
        <v>124</v>
      </c>
      <c r="C20" s="478"/>
      <c r="D20" s="284"/>
      <c r="E20" s="284"/>
      <c r="F20" s="284"/>
      <c r="G20" s="284"/>
      <c r="H20" s="284"/>
    </row>
    <row r="21" spans="1:14" ht="26.25" customHeight="1" x14ac:dyDescent="0.4">
      <c r="A21" s="282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86"/>
    </row>
    <row r="22" spans="1:14" ht="26.25" customHeight="1" x14ac:dyDescent="0.4">
      <c r="A22" s="282" t="s">
        <v>36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37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3" t="s">
        <v>124</v>
      </c>
      <c r="C26" s="473"/>
    </row>
    <row r="27" spans="1:14" ht="26.25" customHeight="1" x14ac:dyDescent="0.4">
      <c r="A27" s="291" t="s">
        <v>47</v>
      </c>
      <c r="B27" s="479" t="s">
        <v>125</v>
      </c>
      <c r="C27" s="479"/>
    </row>
    <row r="28" spans="1:14" ht="27" customHeight="1" x14ac:dyDescent="0.4">
      <c r="A28" s="291" t="s">
        <v>6</v>
      </c>
      <c r="B28" s="292">
        <v>99.8</v>
      </c>
    </row>
    <row r="29" spans="1:14" s="14" customFormat="1" ht="27" customHeight="1" x14ac:dyDescent="0.4">
      <c r="A29" s="291" t="s">
        <v>48</v>
      </c>
      <c r="B29" s="293">
        <v>0</v>
      </c>
      <c r="C29" s="480" t="s">
        <v>49</v>
      </c>
      <c r="D29" s="481"/>
      <c r="E29" s="481"/>
      <c r="F29" s="481"/>
      <c r="G29" s="482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f>B28-B29</f>
        <v>99.8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483" t="s">
        <v>52</v>
      </c>
      <c r="D31" s="484"/>
      <c r="E31" s="484"/>
      <c r="F31" s="484"/>
      <c r="G31" s="484"/>
      <c r="H31" s="485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483" t="s">
        <v>54</v>
      </c>
      <c r="D32" s="484"/>
      <c r="E32" s="484"/>
      <c r="F32" s="484"/>
      <c r="G32" s="484"/>
      <c r="H32" s="485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1" t="s">
        <v>56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50</v>
      </c>
      <c r="C36" s="281"/>
      <c r="D36" s="486" t="s">
        <v>58</v>
      </c>
      <c r="E36" s="487"/>
      <c r="F36" s="486" t="s">
        <v>59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314">
        <v>7541534</v>
      </c>
      <c r="E38" s="315">
        <f>IF(ISBLANK(D38),"-",$D$48/$D$45*D38)</f>
        <v>7029439.3438038882</v>
      </c>
      <c r="F38" s="314">
        <v>7284703</v>
      </c>
      <c r="G38" s="316">
        <f>IF(ISBLANK(F38),"-",$D$48/$F$45*F38)</f>
        <v>6809050.0029910561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8">
        <v>2</v>
      </c>
      <c r="D39" s="314">
        <v>7611892</v>
      </c>
      <c r="E39" s="320">
        <f>IF(ISBLANK(D39),"-",$D$48/$D$45*D39)</f>
        <v>7095019.8070559734</v>
      </c>
      <c r="F39" s="319">
        <v>7273120</v>
      </c>
      <c r="G39" s="321">
        <f>IF(ISBLANK(F39),"-",$D$48/$F$45*F39)</f>
        <v>6798223.3122962341</v>
      </c>
      <c r="I39" s="490">
        <f>ABS((F43/D43*D42)-F42)/D42</f>
        <v>3.0328723005230096E-2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8">
        <v>3</v>
      </c>
      <c r="D40" s="314">
        <v>7452374</v>
      </c>
      <c r="E40" s="320">
        <f>IF(ISBLANK(D40),"-",$D$48/$D$45*D40)</f>
        <v>6946333.5974274138</v>
      </c>
      <c r="F40" s="319">
        <v>7299286</v>
      </c>
      <c r="G40" s="321">
        <f>IF(ISBLANK(F40),"-",$D$48/$F$45*F40)</f>
        <v>6822680.8093799539</v>
      </c>
      <c r="I40" s="490"/>
      <c r="L40" s="299"/>
      <c r="M40" s="299"/>
      <c r="N40" s="322"/>
    </row>
    <row r="41" spans="1:14" ht="27" customHeight="1" x14ac:dyDescent="0.4">
      <c r="A41" s="306" t="s">
        <v>68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69</v>
      </c>
      <c r="B42" s="307">
        <v>1</v>
      </c>
      <c r="C42" s="328" t="s">
        <v>70</v>
      </c>
      <c r="D42" s="329">
        <f>AVERAGE(D38:D41)</f>
        <v>7535266.666666667</v>
      </c>
      <c r="E42" s="330">
        <f>AVERAGE(E38:E41)</f>
        <v>7023597.5827624248</v>
      </c>
      <c r="F42" s="329">
        <f>AVERAGE(F38:F41)</f>
        <v>7285703</v>
      </c>
      <c r="G42" s="331">
        <f>AVERAGE(G38:G41)</f>
        <v>6809984.7082224144</v>
      </c>
      <c r="H42" s="332"/>
    </row>
    <row r="43" spans="1:14" ht="26.25" customHeight="1" x14ac:dyDescent="0.4">
      <c r="A43" s="306" t="s">
        <v>71</v>
      </c>
      <c r="B43" s="307">
        <v>1</v>
      </c>
      <c r="C43" s="333" t="s">
        <v>72</v>
      </c>
      <c r="D43" s="334">
        <v>10.75</v>
      </c>
      <c r="E43" s="322"/>
      <c r="F43" s="334">
        <v>10.72</v>
      </c>
      <c r="H43" s="332"/>
    </row>
    <row r="44" spans="1:14" ht="26.25" customHeight="1" x14ac:dyDescent="0.4">
      <c r="A44" s="306" t="s">
        <v>73</v>
      </c>
      <c r="B44" s="307">
        <v>1</v>
      </c>
      <c r="C44" s="335" t="s">
        <v>74</v>
      </c>
      <c r="D44" s="336">
        <f>D43*$B$34</f>
        <v>10.75</v>
      </c>
      <c r="E44" s="337"/>
      <c r="F44" s="336">
        <f>F43*$B$34</f>
        <v>10.72</v>
      </c>
      <c r="H44" s="332"/>
    </row>
    <row r="45" spans="1:14" ht="19.5" customHeight="1" x14ac:dyDescent="0.3">
      <c r="A45" s="306" t="s">
        <v>75</v>
      </c>
      <c r="B45" s="338">
        <f>(B44/B43)*(B42/B41)*(B40/B39)*(B38/B37)*B36</f>
        <v>500</v>
      </c>
      <c r="C45" s="335" t="s">
        <v>76</v>
      </c>
      <c r="D45" s="339">
        <f>D44*$B$30/100</f>
        <v>10.728499999999999</v>
      </c>
      <c r="E45" s="340"/>
      <c r="F45" s="339">
        <f>F44*$B$30/100</f>
        <v>10.698560000000001</v>
      </c>
      <c r="H45" s="332"/>
    </row>
    <row r="46" spans="1:14" ht="19.5" customHeight="1" x14ac:dyDescent="0.3">
      <c r="A46" s="491" t="s">
        <v>77</v>
      </c>
      <c r="B46" s="492"/>
      <c r="C46" s="335" t="s">
        <v>78</v>
      </c>
      <c r="D46" s="341">
        <f>D45/$B$45</f>
        <v>2.1456999999999997E-2</v>
      </c>
      <c r="E46" s="342"/>
      <c r="F46" s="343">
        <f>F45/$B$45</f>
        <v>2.1397120000000002E-2</v>
      </c>
      <c r="H46" s="332"/>
    </row>
    <row r="47" spans="1:14" ht="27" customHeight="1" x14ac:dyDescent="0.4">
      <c r="A47" s="493"/>
      <c r="B47" s="494"/>
      <c r="C47" s="344" t="s">
        <v>79</v>
      </c>
      <c r="D47" s="345">
        <v>0.02</v>
      </c>
      <c r="E47" s="346"/>
      <c r="F47" s="342"/>
      <c r="H47" s="332"/>
    </row>
    <row r="48" spans="1:14" ht="18.75" x14ac:dyDescent="0.3">
      <c r="C48" s="347" t="s">
        <v>80</v>
      </c>
      <c r="D48" s="339">
        <f>D47*$B$45</f>
        <v>10</v>
      </c>
      <c r="F48" s="348"/>
      <c r="H48" s="332"/>
    </row>
    <row r="49" spans="1:12" ht="19.5" customHeight="1" x14ac:dyDescent="0.3">
      <c r="C49" s="349" t="s">
        <v>81</v>
      </c>
      <c r="D49" s="350">
        <f>D48/B34</f>
        <v>10</v>
      </c>
      <c r="F49" s="348"/>
      <c r="H49" s="332"/>
    </row>
    <row r="50" spans="1:12" ht="18.75" x14ac:dyDescent="0.3">
      <c r="C50" s="304" t="s">
        <v>82</v>
      </c>
      <c r="D50" s="351">
        <f>AVERAGE(E38:E41,G38:G41)</f>
        <v>6916791.1454924196</v>
      </c>
      <c r="F50" s="352"/>
      <c r="H50" s="332"/>
    </row>
    <row r="51" spans="1:12" ht="18.75" x14ac:dyDescent="0.3">
      <c r="C51" s="306" t="s">
        <v>83</v>
      </c>
      <c r="D51" s="353">
        <f>STDEV(E38:E41,G38:G41)/D50</f>
        <v>1.8270511377744419E-2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84</v>
      </c>
    </row>
    <row r="55" spans="1:12" ht="18.75" x14ac:dyDescent="0.3">
      <c r="A55" s="281" t="s">
        <v>85</v>
      </c>
      <c r="B55" s="358" t="str">
        <f>B21</f>
        <v>sulfadoxine USP 500mg pyrimethamine USP 25mg</v>
      </c>
    </row>
    <row r="56" spans="1:12" ht="26.25" customHeight="1" x14ac:dyDescent="0.4">
      <c r="A56" s="359" t="s">
        <v>86</v>
      </c>
      <c r="B56" s="360">
        <v>25</v>
      </c>
      <c r="C56" s="281" t="str">
        <f>B20</f>
        <v>Pyrimethamine</v>
      </c>
      <c r="H56" s="361"/>
    </row>
    <row r="57" spans="1:12" ht="18.75" x14ac:dyDescent="0.3">
      <c r="A57" s="358" t="s">
        <v>87</v>
      </c>
      <c r="B57" s="450">
        <f>Uniformity!C46</f>
        <v>663.15800000000002</v>
      </c>
      <c r="H57" s="361"/>
    </row>
    <row r="58" spans="1:12" ht="19.5" customHeight="1" x14ac:dyDescent="0.3">
      <c r="H58" s="361"/>
    </row>
    <row r="59" spans="1:12" s="14" customFormat="1" ht="27" customHeight="1" thickBot="1" x14ac:dyDescent="0.45">
      <c r="A59" s="304" t="s">
        <v>88</v>
      </c>
      <c r="B59" s="305">
        <v>100</v>
      </c>
      <c r="C59" s="281"/>
      <c r="D59" s="362" t="s">
        <v>89</v>
      </c>
      <c r="E59" s="363" t="s">
        <v>61</v>
      </c>
      <c r="F59" s="363" t="s">
        <v>62</v>
      </c>
      <c r="G59" s="363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495" t="s">
        <v>93</v>
      </c>
      <c r="D60" s="498">
        <v>659.08</v>
      </c>
      <c r="E60" s="364">
        <v>1</v>
      </c>
      <c r="F60" s="365">
        <v>6356297</v>
      </c>
      <c r="G60" s="451">
        <f>IF(ISBLANK(F60),"-",(F60/$D$50*$D$47*$B$68)*($B$57/$D$60))</f>
        <v>23.11630457901764</v>
      </c>
      <c r="H60" s="366">
        <f t="shared" ref="H60:H71" si="0">IF(ISBLANK(F60),"-",G60/$B$56)</f>
        <v>0.92465218316070563</v>
      </c>
      <c r="L60" s="294"/>
    </row>
    <row r="61" spans="1:12" s="14" customFormat="1" ht="26.25" customHeight="1" x14ac:dyDescent="0.4">
      <c r="A61" s="306" t="s">
        <v>94</v>
      </c>
      <c r="B61" s="307">
        <v>50</v>
      </c>
      <c r="C61" s="496"/>
      <c r="D61" s="499"/>
      <c r="E61" s="367">
        <v>2</v>
      </c>
      <c r="F61" s="319">
        <v>6519050</v>
      </c>
      <c r="G61" s="452">
        <f>IF(ISBLANK(F61),"-",(F61/$D$50*$D$47*$B$68)*($B$57/$D$60))</f>
        <v>23.708197613460314</v>
      </c>
      <c r="H61" s="368">
        <f t="shared" si="0"/>
        <v>0.94832790453841254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496"/>
      <c r="D62" s="499"/>
      <c r="E62" s="367">
        <v>3</v>
      </c>
      <c r="F62" s="369">
        <v>6449716</v>
      </c>
      <c r="G62" s="452">
        <f>IF(ISBLANK(F62),"-",(F62/$D$50*$D$47*$B$68)*($B$57/$D$60))</f>
        <v>23.456046736671261</v>
      </c>
      <c r="H62" s="368">
        <f t="shared" si="0"/>
        <v>0.93824186946685051</v>
      </c>
      <c r="L62" s="294"/>
    </row>
    <row r="63" spans="1:12" ht="27" customHeight="1" thickBot="1" x14ac:dyDescent="0.45">
      <c r="A63" s="306" t="s">
        <v>96</v>
      </c>
      <c r="B63" s="307">
        <v>1</v>
      </c>
      <c r="C63" s="497"/>
      <c r="D63" s="500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495" t="s">
        <v>98</v>
      </c>
      <c r="D64" s="498">
        <v>662.85</v>
      </c>
      <c r="E64" s="364">
        <v>1</v>
      </c>
      <c r="F64" s="319">
        <v>6612550</v>
      </c>
      <c r="G64" s="453">
        <f>IF(ISBLANK(F64),"-",(F64/$D$50*$D$47*$B$68)*($B$57/$D$64))</f>
        <v>23.911458541658618</v>
      </c>
      <c r="H64" s="372">
        <f t="shared" si="0"/>
        <v>0.95645834166634469</v>
      </c>
    </row>
    <row r="65" spans="1:8" ht="26.25" customHeight="1" x14ac:dyDescent="0.4">
      <c r="A65" s="306" t="s">
        <v>99</v>
      </c>
      <c r="B65" s="307">
        <v>1</v>
      </c>
      <c r="C65" s="496"/>
      <c r="D65" s="499"/>
      <c r="E65" s="367">
        <v>2</v>
      </c>
      <c r="F65" s="319"/>
      <c r="G65" s="454" t="str">
        <f>IF(ISBLANK(F65),"-",(F65/$D$50*$D$47*$B$68)*($B$57/$D$64))</f>
        <v>-</v>
      </c>
      <c r="H65" s="373" t="str">
        <f t="shared" si="0"/>
        <v>-</v>
      </c>
    </row>
    <row r="66" spans="1:8" ht="26.25" customHeight="1" x14ac:dyDescent="0.4">
      <c r="A66" s="306" t="s">
        <v>100</v>
      </c>
      <c r="B66" s="307">
        <v>1</v>
      </c>
      <c r="C66" s="496"/>
      <c r="D66" s="499"/>
      <c r="E66" s="367">
        <v>3</v>
      </c>
      <c r="F66" s="319">
        <v>6642911</v>
      </c>
      <c r="G66" s="454">
        <f>IF(ISBLANK(F66),"-",(F66/$D$50*$D$47*$B$68)*($B$57/$D$64))</f>
        <v>24.021246111171639</v>
      </c>
      <c r="H66" s="373">
        <f t="shared" si="0"/>
        <v>0.9608498444468655</v>
      </c>
    </row>
    <row r="67" spans="1:8" ht="27" customHeight="1" thickBot="1" x14ac:dyDescent="0.45">
      <c r="A67" s="306" t="s">
        <v>101</v>
      </c>
      <c r="B67" s="307">
        <v>1</v>
      </c>
      <c r="C67" s="497"/>
      <c r="D67" s="500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102</v>
      </c>
      <c r="B68" s="375">
        <f>(B67/B66)*(B65/B64)*(B63/B62)*(B61/B60)*B59</f>
        <v>1250</v>
      </c>
      <c r="C68" s="495" t="s">
        <v>103</v>
      </c>
      <c r="D68" s="498">
        <v>675.27</v>
      </c>
      <c r="E68" s="364">
        <v>1</v>
      </c>
      <c r="F68" s="365">
        <v>6507101</v>
      </c>
      <c r="G68" s="453">
        <f>IF(ISBLANK(F68),"-",(F68/$D$50*$D$47*$B$68)*($B$57/$D$68))</f>
        <v>23.097365740806751</v>
      </c>
      <c r="H68" s="368">
        <f t="shared" si="0"/>
        <v>0.92389462963227009</v>
      </c>
    </row>
    <row r="69" spans="1:8" ht="27" customHeight="1" thickBot="1" x14ac:dyDescent="0.45">
      <c r="A69" s="354" t="s">
        <v>104</v>
      </c>
      <c r="B69" s="376">
        <f>(D47*B68)/B56*B57</f>
        <v>663.15800000000002</v>
      </c>
      <c r="C69" s="496"/>
      <c r="D69" s="499"/>
      <c r="E69" s="367">
        <v>2</v>
      </c>
      <c r="F69" s="319">
        <v>6598556</v>
      </c>
      <c r="G69" s="454">
        <f>IF(ISBLANK(F69),"-",(F69/$D$50*$D$47*$B$68)*($B$57/$D$68))</f>
        <v>23.42199103613035</v>
      </c>
      <c r="H69" s="368">
        <f t="shared" si="0"/>
        <v>0.93687964144521407</v>
      </c>
    </row>
    <row r="70" spans="1:8" ht="26.25" customHeight="1" x14ac:dyDescent="0.4">
      <c r="A70" s="508" t="s">
        <v>77</v>
      </c>
      <c r="B70" s="509"/>
      <c r="C70" s="496"/>
      <c r="D70" s="499"/>
      <c r="E70" s="367">
        <v>3</v>
      </c>
      <c r="F70" s="319"/>
      <c r="G70" s="454" t="str">
        <f>IF(ISBLANK(F70),"-",(F70/$D$50*$D$47*$B$68)*($B$57/$D$68))</f>
        <v>-</v>
      </c>
      <c r="H70" s="368" t="str">
        <f t="shared" si="0"/>
        <v>-</v>
      </c>
    </row>
    <row r="71" spans="1:8" ht="27" customHeight="1" thickBot="1" x14ac:dyDescent="0.45">
      <c r="A71" s="510"/>
      <c r="B71" s="511"/>
      <c r="C71" s="507"/>
      <c r="D71" s="500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60">
        <f>AVERAGE(G60:G71)</f>
        <v>23.533230051273794</v>
      </c>
      <c r="H72" s="381">
        <f>AVERAGE(H60:H71)</f>
        <v>0.94132920205095183</v>
      </c>
    </row>
    <row r="73" spans="1:8" ht="26.25" customHeight="1" x14ac:dyDescent="0.4">
      <c r="C73" s="378"/>
      <c r="D73" s="378"/>
      <c r="E73" s="378"/>
      <c r="F73" s="382" t="s">
        <v>83</v>
      </c>
      <c r="G73" s="456">
        <f>STDEV(G60:G71)/G72</f>
        <v>1.5457661713453434E-2</v>
      </c>
      <c r="H73" s="456">
        <f>STDEV(H60:H71)/H72</f>
        <v>1.5457661713453395E-2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7</v>
      </c>
      <c r="H74" s="385">
        <f>COUNT(H60:H71)</f>
        <v>7</v>
      </c>
    </row>
    <row r="76" spans="1:8" ht="26.25" customHeight="1" x14ac:dyDescent="0.4">
      <c r="A76" s="290" t="s">
        <v>105</v>
      </c>
      <c r="B76" s="386" t="s">
        <v>106</v>
      </c>
      <c r="C76" s="503" t="str">
        <f>B20</f>
        <v>Pyrimethamine</v>
      </c>
      <c r="D76" s="503"/>
      <c r="E76" s="387" t="s">
        <v>107</v>
      </c>
      <c r="F76" s="387"/>
      <c r="G76" s="388">
        <f>H72</f>
        <v>0.94132920205095183</v>
      </c>
      <c r="H76" s="389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89" t="str">
        <f>B26</f>
        <v>Pyrimethamine</v>
      </c>
      <c r="C79" s="489"/>
    </row>
    <row r="80" spans="1:8" ht="26.25" customHeight="1" x14ac:dyDescent="0.4">
      <c r="A80" s="291" t="s">
        <v>47</v>
      </c>
      <c r="B80" s="489" t="str">
        <f>B27</f>
        <v>NQCL-PRS-P21-1</v>
      </c>
      <c r="C80" s="489"/>
    </row>
    <row r="81" spans="1:12" ht="27" customHeight="1" x14ac:dyDescent="0.4">
      <c r="A81" s="291" t="s">
        <v>6</v>
      </c>
      <c r="B81" s="390">
        <f>B28</f>
        <v>99.8</v>
      </c>
    </row>
    <row r="82" spans="1:12" s="14" customFormat="1" ht="27" customHeight="1" x14ac:dyDescent="0.4">
      <c r="A82" s="291" t="s">
        <v>48</v>
      </c>
      <c r="B82" s="293">
        <v>0</v>
      </c>
      <c r="C82" s="480" t="s">
        <v>49</v>
      </c>
      <c r="D82" s="481"/>
      <c r="E82" s="481"/>
      <c r="F82" s="481"/>
      <c r="G82" s="482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99.8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483" t="s">
        <v>110</v>
      </c>
      <c r="D84" s="484"/>
      <c r="E84" s="484"/>
      <c r="F84" s="484"/>
      <c r="G84" s="484"/>
      <c r="H84" s="485"/>
      <c r="I84" s="294"/>
      <c r="J84" s="294"/>
      <c r="K84" s="294"/>
      <c r="L84" s="294"/>
    </row>
    <row r="85" spans="1:12" s="14" customFormat="1" ht="27" customHeight="1" thickBot="1" x14ac:dyDescent="0.45">
      <c r="A85" s="291" t="s">
        <v>53</v>
      </c>
      <c r="B85" s="298">
        <v>1</v>
      </c>
      <c r="C85" s="483" t="s">
        <v>111</v>
      </c>
      <c r="D85" s="484"/>
      <c r="E85" s="484"/>
      <c r="F85" s="484"/>
      <c r="G85" s="484"/>
      <c r="H85" s="485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1" t="s">
        <v>56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thickBot="1" x14ac:dyDescent="0.35">
      <c r="A88" s="289"/>
      <c r="B88" s="289"/>
    </row>
    <row r="89" spans="1:12" ht="27" customHeight="1" thickBot="1" x14ac:dyDescent="0.45">
      <c r="A89" s="304" t="s">
        <v>57</v>
      </c>
      <c r="B89" s="305">
        <v>50</v>
      </c>
      <c r="D89" s="391" t="s">
        <v>58</v>
      </c>
      <c r="E89" s="392"/>
      <c r="F89" s="486" t="s">
        <v>59</v>
      </c>
      <c r="G89" s="488"/>
    </row>
    <row r="90" spans="1:12" ht="27" customHeight="1" thickBot="1" x14ac:dyDescent="0.45">
      <c r="A90" s="306" t="s">
        <v>60</v>
      </c>
      <c r="B90" s="307">
        <v>5</v>
      </c>
      <c r="C90" s="393" t="s">
        <v>61</v>
      </c>
      <c r="D90" s="309" t="s">
        <v>62</v>
      </c>
      <c r="E90" s="310" t="s">
        <v>63</v>
      </c>
      <c r="F90" s="309" t="s">
        <v>62</v>
      </c>
      <c r="G90" s="394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50</v>
      </c>
      <c r="C91" s="395">
        <v>1</v>
      </c>
      <c r="D91" s="314">
        <v>7437014</v>
      </c>
      <c r="E91" s="315">
        <f>IF(ISBLANK(D91),"-",$D$101/$D$98*D91)</f>
        <v>8665020.7391527258</v>
      </c>
      <c r="F91" s="314">
        <v>7240044</v>
      </c>
      <c r="G91" s="316">
        <f>IF(ISBLANK(F91),"-",$D$101/$F$98*F91)</f>
        <v>8459133.7525797859</v>
      </c>
      <c r="I91" s="317"/>
    </row>
    <row r="92" spans="1:12" ht="26.25" customHeight="1" x14ac:dyDescent="0.4">
      <c r="A92" s="306" t="s">
        <v>66</v>
      </c>
      <c r="B92" s="307">
        <v>1</v>
      </c>
      <c r="C92" s="379">
        <v>2</v>
      </c>
      <c r="D92" s="319">
        <v>7418968</v>
      </c>
      <c r="E92" s="320">
        <f>IF(ISBLANK(D92),"-",$D$101/$D$98*D92)</f>
        <v>8643994.9666775428</v>
      </c>
      <c r="F92" s="319">
        <v>7245737</v>
      </c>
      <c r="G92" s="321">
        <f>IF(ISBLANK(F92),"-",$D$101/$F$98*F92)</f>
        <v>8465785.348682439</v>
      </c>
      <c r="I92" s="490">
        <f>ABS((F96/D96*D95)-F95)/D95</f>
        <v>2.0818118603277928E-2</v>
      </c>
    </row>
    <row r="93" spans="1:12" ht="26.25" customHeight="1" x14ac:dyDescent="0.4">
      <c r="A93" s="306" t="s">
        <v>67</v>
      </c>
      <c r="B93" s="307">
        <v>1</v>
      </c>
      <c r="C93" s="379">
        <v>3</v>
      </c>
      <c r="D93" s="319">
        <v>7423534</v>
      </c>
      <c r="E93" s="320">
        <f>IF(ISBLANK(D93),"-",$D$101/$D$98*D93)</f>
        <v>8649314.9088875428</v>
      </c>
      <c r="F93" s="319">
        <v>7267742</v>
      </c>
      <c r="G93" s="321">
        <f>IF(ISBLANK(F93),"-",$D$101/$F$98*F93)</f>
        <v>8491495.5844524875</v>
      </c>
      <c r="I93" s="490"/>
    </row>
    <row r="94" spans="1:12" ht="27" customHeight="1" x14ac:dyDescent="0.4">
      <c r="A94" s="306" t="s">
        <v>68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69</v>
      </c>
      <c r="B95" s="307">
        <v>1</v>
      </c>
      <c r="C95" s="398" t="s">
        <v>70</v>
      </c>
      <c r="D95" s="399">
        <f>AVERAGE(D91:D94)</f>
        <v>7426505.333333333</v>
      </c>
      <c r="E95" s="330">
        <f>AVERAGE(E91:E94)</f>
        <v>8652776.8715726044</v>
      </c>
      <c r="F95" s="400">
        <f>AVERAGE(F91:F94)</f>
        <v>7251174.333333333</v>
      </c>
      <c r="G95" s="401">
        <f>AVERAGE(G91:G94)</f>
        <v>8472138.2285715714</v>
      </c>
    </row>
    <row r="96" spans="1:12" ht="26.25" customHeight="1" x14ac:dyDescent="0.4">
      <c r="A96" s="306" t="s">
        <v>71</v>
      </c>
      <c r="B96" s="292">
        <v>1</v>
      </c>
      <c r="C96" s="402" t="s">
        <v>112</v>
      </c>
      <c r="D96" s="403">
        <v>10.75</v>
      </c>
      <c r="E96" s="322"/>
      <c r="F96" s="334">
        <v>10.72</v>
      </c>
    </row>
    <row r="97" spans="1:10" ht="26.25" customHeight="1" x14ac:dyDescent="0.4">
      <c r="A97" s="306" t="s">
        <v>73</v>
      </c>
      <c r="B97" s="292">
        <v>1</v>
      </c>
      <c r="C97" s="404" t="s">
        <v>113</v>
      </c>
      <c r="D97" s="405">
        <f>D96*$B$87</f>
        <v>10.75</v>
      </c>
      <c r="E97" s="337"/>
      <c r="F97" s="336">
        <f>F96*$B$87</f>
        <v>10.72</v>
      </c>
    </row>
    <row r="98" spans="1:10" ht="19.5" customHeight="1" x14ac:dyDescent="0.3">
      <c r="A98" s="306" t="s">
        <v>75</v>
      </c>
      <c r="B98" s="406">
        <f>(B97/B96)*(B95/B94)*(B93/B92)*(B91/B90)*B89</f>
        <v>500</v>
      </c>
      <c r="C98" s="404" t="s">
        <v>114</v>
      </c>
      <c r="D98" s="407">
        <f>D97*$B$83/100</f>
        <v>10.728499999999999</v>
      </c>
      <c r="E98" s="340"/>
      <c r="F98" s="339">
        <f>F97*$B$83/100</f>
        <v>10.698560000000001</v>
      </c>
    </row>
    <row r="99" spans="1:10" ht="19.5" customHeight="1" x14ac:dyDescent="0.3">
      <c r="A99" s="491" t="s">
        <v>77</v>
      </c>
      <c r="B99" s="505"/>
      <c r="C99" s="404" t="s">
        <v>115</v>
      </c>
      <c r="D99" s="408">
        <f>D98/$B$98</f>
        <v>2.1456999999999997E-2</v>
      </c>
      <c r="E99" s="340"/>
      <c r="F99" s="343">
        <f>F98/$B$98</f>
        <v>2.1397120000000002E-2</v>
      </c>
      <c r="G99" s="409"/>
      <c r="H99" s="332"/>
    </row>
    <row r="100" spans="1:10" ht="19.5" customHeight="1" x14ac:dyDescent="0.3">
      <c r="A100" s="493"/>
      <c r="B100" s="506"/>
      <c r="C100" s="404" t="s">
        <v>79</v>
      </c>
      <c r="D100" s="410">
        <f>$B$56/$B$116</f>
        <v>2.5000000000000001E-2</v>
      </c>
      <c r="F100" s="348"/>
      <c r="G100" s="411"/>
      <c r="H100" s="332"/>
    </row>
    <row r="101" spans="1:10" ht="18.75" x14ac:dyDescent="0.3">
      <c r="C101" s="404" t="s">
        <v>80</v>
      </c>
      <c r="D101" s="405">
        <f>D100*$B$98</f>
        <v>12.5</v>
      </c>
      <c r="F101" s="348"/>
      <c r="G101" s="409"/>
      <c r="H101" s="332"/>
    </row>
    <row r="102" spans="1:10" ht="19.5" customHeight="1" x14ac:dyDescent="0.3">
      <c r="C102" s="412" t="s">
        <v>81</v>
      </c>
      <c r="D102" s="413">
        <f>D101/B34</f>
        <v>12.5</v>
      </c>
      <c r="F102" s="352"/>
      <c r="G102" s="409"/>
      <c r="H102" s="332"/>
      <c r="J102" s="414"/>
    </row>
    <row r="103" spans="1:10" ht="18.75" x14ac:dyDescent="0.3">
      <c r="C103" s="415" t="s">
        <v>116</v>
      </c>
      <c r="D103" s="416">
        <f>AVERAGE(E91:E94,G91:G94)</f>
        <v>8562457.550072087</v>
      </c>
      <c r="F103" s="352"/>
      <c r="G103" s="417"/>
      <c r="H103" s="332"/>
      <c r="J103" s="418"/>
    </row>
    <row r="104" spans="1:10" ht="18.75" x14ac:dyDescent="0.3">
      <c r="C104" s="382" t="s">
        <v>83</v>
      </c>
      <c r="D104" s="419">
        <f>STDEV(E91:E94,G91:G94)/D103</f>
        <v>1.1651843213172652E-2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117</v>
      </c>
      <c r="B107" s="305">
        <v>1000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6" t="s">
        <v>121</v>
      </c>
      <c r="B108" s="307">
        <v>1</v>
      </c>
      <c r="C108" s="425">
        <v>1</v>
      </c>
      <c r="D108" s="426">
        <v>7828251</v>
      </c>
      <c r="E108" s="457">
        <f t="shared" ref="E108:E113" si="1">IF(ISBLANK(D108),"-",D108/$D$103*$D$100*$B$116)</f>
        <v>22.856320613040864</v>
      </c>
      <c r="F108" s="427">
        <f t="shared" ref="F108:F113" si="2">IF(ISBLANK(D108), "-", E108/$B$56)</f>
        <v>0.91425282452163459</v>
      </c>
    </row>
    <row r="109" spans="1:10" ht="26.25" customHeight="1" x14ac:dyDescent="0.4">
      <c r="A109" s="306" t="s">
        <v>94</v>
      </c>
      <c r="B109" s="307">
        <v>1</v>
      </c>
      <c r="C109" s="425">
        <v>2</v>
      </c>
      <c r="D109" s="426">
        <v>7320718</v>
      </c>
      <c r="E109" s="458">
        <f t="shared" si="1"/>
        <v>21.374465091328737</v>
      </c>
      <c r="F109" s="428">
        <f t="shared" si="2"/>
        <v>0.85497860365314948</v>
      </c>
    </row>
    <row r="110" spans="1:10" ht="26.25" customHeight="1" x14ac:dyDescent="0.4">
      <c r="A110" s="306" t="s">
        <v>95</v>
      </c>
      <c r="B110" s="307">
        <v>1</v>
      </c>
      <c r="C110" s="425">
        <v>3</v>
      </c>
      <c r="D110" s="426">
        <v>7868423</v>
      </c>
      <c r="E110" s="458">
        <f t="shared" si="1"/>
        <v>22.973611705478636</v>
      </c>
      <c r="F110" s="428">
        <f t="shared" si="2"/>
        <v>0.91894446821914544</v>
      </c>
    </row>
    <row r="111" spans="1:10" ht="26.25" customHeight="1" x14ac:dyDescent="0.4">
      <c r="A111" s="306" t="s">
        <v>96</v>
      </c>
      <c r="B111" s="307">
        <v>1</v>
      </c>
      <c r="C111" s="425">
        <v>4</v>
      </c>
      <c r="D111" s="426">
        <v>7591406</v>
      </c>
      <c r="E111" s="458">
        <f t="shared" si="1"/>
        <v>22.164798936539221</v>
      </c>
      <c r="F111" s="428">
        <f t="shared" si="2"/>
        <v>0.88659195746156882</v>
      </c>
    </row>
    <row r="112" spans="1:10" ht="26.25" customHeight="1" x14ac:dyDescent="0.4">
      <c r="A112" s="306" t="s">
        <v>97</v>
      </c>
      <c r="B112" s="307">
        <v>1</v>
      </c>
      <c r="C112" s="425">
        <v>5</v>
      </c>
      <c r="D112" s="426">
        <v>7610401</v>
      </c>
      <c r="E112" s="458">
        <f t="shared" si="1"/>
        <v>22.220259065506053</v>
      </c>
      <c r="F112" s="428">
        <f t="shared" si="2"/>
        <v>0.88881036262024216</v>
      </c>
    </row>
    <row r="113" spans="1:10" ht="26.25" customHeight="1" x14ac:dyDescent="0.4">
      <c r="A113" s="306" t="s">
        <v>99</v>
      </c>
      <c r="B113" s="307">
        <v>1</v>
      </c>
      <c r="C113" s="429">
        <v>6</v>
      </c>
      <c r="D113" s="430">
        <v>7803225</v>
      </c>
      <c r="E113" s="459">
        <f t="shared" si="1"/>
        <v>22.783251637651347</v>
      </c>
      <c r="F113" s="431">
        <f t="shared" si="2"/>
        <v>0.91133006550605389</v>
      </c>
    </row>
    <row r="114" spans="1:10" ht="26.25" customHeight="1" x14ac:dyDescent="0.4">
      <c r="A114" s="306" t="s">
        <v>100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101</v>
      </c>
      <c r="B115" s="307">
        <v>1</v>
      </c>
      <c r="C115" s="425"/>
      <c r="D115" s="433" t="s">
        <v>70</v>
      </c>
      <c r="E115" s="461">
        <f>AVERAGE(E108:E113)</f>
        <v>22.395451174924148</v>
      </c>
      <c r="F115" s="434">
        <f>AVERAGE(F108:F113)</f>
        <v>0.89581804699696566</v>
      </c>
    </row>
    <row r="116" spans="1:10" ht="27" customHeight="1" x14ac:dyDescent="0.4">
      <c r="A116" s="306" t="s">
        <v>102</v>
      </c>
      <c r="B116" s="338">
        <f>(B115/B114)*(B113/B112)*(B111/B110)*(B109/B108)*B107</f>
        <v>1000</v>
      </c>
      <c r="C116" s="435"/>
      <c r="D116" s="398" t="s">
        <v>83</v>
      </c>
      <c r="E116" s="436">
        <f>STDEV(E108:E113)/E115</f>
        <v>2.6964474384637942E-2</v>
      </c>
      <c r="F116" s="436">
        <f>STDEV(F108:F113)/F115</f>
        <v>2.6964474384637956E-2</v>
      </c>
      <c r="I116" s="280"/>
    </row>
    <row r="117" spans="1:10" ht="27" customHeight="1" x14ac:dyDescent="0.4">
      <c r="A117" s="491" t="s">
        <v>77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3"/>
      <c r="B118" s="494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105</v>
      </c>
      <c r="B120" s="386" t="s">
        <v>122</v>
      </c>
      <c r="C120" s="503" t="str">
        <f>B20</f>
        <v>Pyrimethamine</v>
      </c>
      <c r="D120" s="503"/>
      <c r="E120" s="387" t="s">
        <v>123</v>
      </c>
      <c r="F120" s="387"/>
      <c r="G120" s="388">
        <f>F115</f>
        <v>0.89581804699696566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25</v>
      </c>
      <c r="C122" s="504"/>
      <c r="E122" s="393" t="s">
        <v>26</v>
      </c>
      <c r="F122" s="442"/>
      <c r="G122" s="504" t="s">
        <v>27</v>
      </c>
      <c r="H122" s="504"/>
    </row>
    <row r="123" spans="1:10" ht="69.95" customHeight="1" x14ac:dyDescent="0.3">
      <c r="A123" s="443" t="s">
        <v>28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sulphadoxine</vt:lpstr>
      <vt:lpstr>pyrimethamine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2015-11-11T06:28:36Z</dcterms:modified>
</cp:coreProperties>
</file>