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Uniformity" sheetId="2" r:id="rId1"/>
    <sheet name="ethionamide" sheetId="3" r:id="rId2"/>
  </sheets>
  <definedNames>
    <definedName name="_xlnm.Print_Area" localSheetId="1">ethionamide!$A$1:$I$127</definedName>
    <definedName name="_xlnm.Print_Area" localSheetId="0">Uniformity!$A$10:$F$54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6" i="2"/>
  <c r="D50" i="2" s="1"/>
  <c r="C45" i="2"/>
  <c r="D41" i="2"/>
  <c r="D37" i="2"/>
  <c r="D35" i="2"/>
  <c r="D33" i="2"/>
  <c r="D31" i="2"/>
  <c r="D29" i="2"/>
  <c r="D27" i="2"/>
  <c r="D25" i="2"/>
  <c r="C19" i="2"/>
  <c r="I92" i="3" l="1"/>
  <c r="D101" i="3"/>
  <c r="I39" i="3"/>
  <c r="F44" i="3"/>
  <c r="F45" i="3" s="1"/>
  <c r="G41" i="3" s="1"/>
  <c r="D45" i="3"/>
  <c r="E38" i="3" s="1"/>
  <c r="F98" i="3"/>
  <c r="F99" i="3" s="1"/>
  <c r="D102" i="3"/>
  <c r="G94" i="3"/>
  <c r="D39" i="2"/>
  <c r="D43" i="2"/>
  <c r="C49" i="2"/>
  <c r="D24" i="2"/>
  <c r="D28" i="2"/>
  <c r="D32" i="2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1" i="3" l="1"/>
  <c r="G93" i="3"/>
  <c r="G92" i="3"/>
  <c r="E39" i="3"/>
  <c r="E41" i="3"/>
  <c r="D46" i="3"/>
  <c r="G40" i="3"/>
  <c r="E40" i="3"/>
  <c r="G39" i="3"/>
  <c r="G95" i="3"/>
  <c r="F46" i="3"/>
  <c r="G38" i="3"/>
  <c r="E91" i="3"/>
  <c r="E92" i="3"/>
  <c r="E94" i="3"/>
  <c r="E93" i="3"/>
  <c r="G42" i="3" l="1"/>
  <c r="E42" i="3"/>
  <c r="D50" i="3"/>
  <c r="G71" i="3" s="1"/>
  <c r="H71" i="3" s="1"/>
  <c r="D52" i="3"/>
  <c r="E95" i="3"/>
  <c r="D105" i="3"/>
  <c r="D103" i="3"/>
  <c r="G68" i="3"/>
  <c r="H68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9" i="3" l="1"/>
  <c r="H69" i="3" s="1"/>
  <c r="G66" i="3"/>
  <c r="H66" i="3" s="1"/>
  <c r="H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<sst xmlns="http://schemas.openxmlformats.org/spreadsheetml/2006/main" count="186" uniqueCount="109">
  <si>
    <t>Analysis Data</t>
  </si>
  <si>
    <t>Reference Substance:</t>
  </si>
  <si>
    <t>ETHIONAMIDE TABLETS USP 250MG</t>
  </si>
  <si>
    <t>% age Purity:</t>
  </si>
  <si>
    <t>NDQD201508242</t>
  </si>
  <si>
    <t>Ethionamide</t>
  </si>
  <si>
    <t>Ethionamide 250mg</t>
  </si>
  <si>
    <t>2015-09-04 11:00:55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</si>
  <si>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</si>
  <si>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</si>
  <si>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</si>
  <si>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</si>
  <si>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</si>
  <si>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</si>
  <si>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</si>
  <si>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</si>
  <si>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</si>
  <si>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</si>
  <si>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</si>
  <si>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</si>
  <si>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</si>
  <si>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</si>
  <si>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</si>
  <si>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</si>
  <si>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</si>
  <si>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</si>
  <si>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</si>
  <si>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</si>
  <si>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</si>
  <si>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</si>
  <si>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</si>
  <si>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</si>
  <si>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</si>
  <si>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</si>
  <si>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</si>
  <si>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</si>
  <si>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</si>
  <si>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</si>
  <si>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</si>
  <si>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</si>
  <si>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</si>
  <si>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</si>
  <si>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</si>
  <si>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</si>
  <si>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</si>
  <si>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</si>
  <si>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</si>
  <si>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</si>
  <si>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</si>
  <si>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</si>
  <si>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</si>
  <si>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</si>
  <si>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</si>
  <si>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</si>
  <si>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</si>
  <si>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</si>
  <si>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</si>
  <si>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</si>
  <si>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</si>
  <si>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</si>
  <si>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</si>
  <si>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</si>
  <si>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</si>
  <si>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</si>
  <si>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</si>
  <si>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</si>
  <si>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</si>
  <si>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</si>
  <si>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</si>
  <si>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</si>
  <si>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</si>
  <si>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</si>
  <si>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</si>
  <si>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</si>
  <si>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</si>
  <si>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</si>
  <si>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</si>
  <si>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</si>
  <si>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</si>
  <si>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</si>
  <si>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</si>
  <si>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</si>
  <si>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</si>
  <si>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</si>
  <si>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</si>
  <si>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</si>
  <si>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</si>
  <si>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</si>
  <si>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</si>
  <si>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</si>
  <si>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</si>
  <si>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</si>
  <si>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</si>
  <si>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</si>
  <si>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</si>
  <si>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</si>
  <si>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</si>
  <si>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</si>
  <si>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</si>
  <si>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</si>
  <si>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</si>
  <si>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</si>
  <si>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</si>
  <si>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</si>
  <si>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</si>
  <si>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</si>
  <si>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</si>
  <si>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</si>
  <si>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E26-1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</si>
</sst>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8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Protection="1">
      <protection locked="0"/>
    </xf>
    <xf numFmtId="2" fontId="6" fillId="3" borderId="10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166" fontId="5" fillId="2" borderId="8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6" t="s">
        <v>14</v>
      </c>
      <c r="B11" s="237"/>
      <c r="C11" s="237"/>
      <c r="D11" s="237"/>
      <c r="E11" s="237"/>
      <c r="F11" s="238"/>
      <c r="G11" s="43"/>
    </row>
    <row r="12" spans="1:7" ht="16.5" customHeight="1" x14ac:dyDescent="0.3">
      <c r="A12" s="235" t="s">
        <v>15</v>
      </c>
      <c r="B12" s="235"/>
      <c r="C12" s="235"/>
      <c r="D12" s="235"/>
      <c r="E12" s="235"/>
      <c r="F12" s="235"/>
      <c r="G12" s="42"/>
    </row>
    <row r="14" spans="1:7" ht="16.5" customHeight="1" x14ac:dyDescent="0.3">
      <c r="A14" s="240" t="s">
        <v>16</v>
      </c>
      <c r="B14" s="240"/>
      <c r="C14" s="12" t="s">
        <v>2</v>
      </c>
    </row>
    <row r="15" spans="1:7" ht="16.5" customHeight="1" x14ac:dyDescent="0.3">
      <c r="A15" s="240" t="s">
        <v>17</v>
      </c>
      <c r="B15" s="240"/>
      <c r="C15" s="12" t="s">
        <v>4</v>
      </c>
    </row>
    <row r="16" spans="1:7" ht="16.5" customHeight="1" x14ac:dyDescent="0.3">
      <c r="A16" s="240" t="s">
        <v>18</v>
      </c>
      <c r="B16" s="240"/>
      <c r="C16" s="12" t="s">
        <v>5</v>
      </c>
    </row>
    <row r="17" spans="1:5" ht="16.5" customHeight="1" x14ac:dyDescent="0.3">
      <c r="A17" s="240" t="s">
        <v>19</v>
      </c>
      <c r="B17" s="240"/>
      <c r="C17" s="12" t="s">
        <v>6</v>
      </c>
    </row>
    <row r="18" spans="1:5" ht="16.5" customHeight="1" x14ac:dyDescent="0.3">
      <c r="A18" s="240" t="s">
        <v>20</v>
      </c>
      <c r="B18" s="240"/>
      <c r="C18" s="49" t="s">
        <v>7</v>
      </c>
    </row>
    <row r="19" spans="1:5" ht="16.5" customHeight="1" x14ac:dyDescent="0.3">
      <c r="A19" s="240" t="s">
        <v>21</v>
      </c>
      <c r="B19" s="2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5" t="s">
        <v>0</v>
      </c>
      <c r="B21" s="235"/>
      <c r="C21" s="11" t="s">
        <v>22</v>
      </c>
      <c r="D21" s="18"/>
    </row>
    <row r="22" spans="1:5" ht="15.75" customHeight="1" x14ac:dyDescent="0.3">
      <c r="A22" s="239"/>
      <c r="B22" s="239"/>
      <c r="C22" s="9"/>
      <c r="D22" s="239"/>
      <c r="E22" s="239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418.1</v>
      </c>
      <c r="D24" s="39">
        <f t="shared" ref="D24:D43" si="0">(C24-$C$46)/$C$46</f>
        <v>2.19295672747894E-2</v>
      </c>
      <c r="E24" s="5"/>
    </row>
    <row r="25" spans="1:5" ht="15.75" customHeight="1" x14ac:dyDescent="0.3">
      <c r="C25" s="47">
        <v>402.23</v>
      </c>
      <c r="D25" s="40">
        <f t="shared" si="0"/>
        <v>-1.6860249115191257E-2</v>
      </c>
      <c r="E25" s="5"/>
    </row>
    <row r="26" spans="1:5" ht="15.75" customHeight="1" x14ac:dyDescent="0.3">
      <c r="C26" s="47">
        <v>423.62</v>
      </c>
      <c r="D26" s="40">
        <f t="shared" si="0"/>
        <v>3.5421677323478271E-2</v>
      </c>
      <c r="E26" s="5"/>
    </row>
    <row r="27" spans="1:5" ht="15.75" customHeight="1" x14ac:dyDescent="0.3">
      <c r="C27" s="47">
        <v>411.19</v>
      </c>
      <c r="D27" s="40">
        <f t="shared" si="0"/>
        <v>5.0399874855791144E-3</v>
      </c>
      <c r="E27" s="5"/>
    </row>
    <row r="28" spans="1:5" ht="15.75" customHeight="1" x14ac:dyDescent="0.3">
      <c r="C28" s="47">
        <v>410.46</v>
      </c>
      <c r="D28" s="40">
        <f t="shared" si="0"/>
        <v>3.2557048160966585E-3</v>
      </c>
      <c r="E28" s="5"/>
    </row>
    <row r="29" spans="1:5" ht="15.75" customHeight="1" x14ac:dyDescent="0.3">
      <c r="C29" s="47">
        <v>409.36</v>
      </c>
      <c r="D29" s="40">
        <f t="shared" si="0"/>
        <v>5.6705969769858756E-4</v>
      </c>
      <c r="E29" s="5"/>
    </row>
    <row r="30" spans="1:5" ht="15.75" customHeight="1" x14ac:dyDescent="0.3">
      <c r="C30" s="47">
        <v>406.01</v>
      </c>
      <c r="D30" s="40">
        <f t="shared" si="0"/>
        <v>-7.6210867992413016E-3</v>
      </c>
      <c r="E30" s="5"/>
    </row>
    <row r="31" spans="1:5" ht="15.75" customHeight="1" x14ac:dyDescent="0.3">
      <c r="C31" s="47">
        <v>412.46</v>
      </c>
      <c r="D31" s="40">
        <f t="shared" si="0"/>
        <v>8.144150485911484E-3</v>
      </c>
      <c r="E31" s="5"/>
    </row>
    <row r="32" spans="1:5" ht="15.75" customHeight="1" x14ac:dyDescent="0.3">
      <c r="C32" s="47">
        <v>400.71</v>
      </c>
      <c r="D32" s="40">
        <f t="shared" si="0"/>
        <v>-2.0575467824250619E-2</v>
      </c>
      <c r="E32" s="5"/>
    </row>
    <row r="33" spans="1:7" ht="15.75" customHeight="1" x14ac:dyDescent="0.3">
      <c r="C33" s="47">
        <v>409.99</v>
      </c>
      <c r="D33" s="40">
        <f t="shared" si="0"/>
        <v>2.1069200836902465E-3</v>
      </c>
      <c r="E33" s="5"/>
    </row>
    <row r="34" spans="1:7" ht="15.75" customHeight="1" x14ac:dyDescent="0.3">
      <c r="C34" s="47">
        <v>409</v>
      </c>
      <c r="D34" s="40">
        <f t="shared" si="0"/>
        <v>-3.128605228681144E-4</v>
      </c>
      <c r="E34" s="5"/>
    </row>
    <row r="35" spans="1:7" ht="15.75" customHeight="1" x14ac:dyDescent="0.3">
      <c r="C35" s="47">
        <v>406.41</v>
      </c>
      <c r="D35" s="40">
        <f t="shared" si="0"/>
        <v>-6.6433976652782532E-3</v>
      </c>
      <c r="E35" s="5"/>
    </row>
    <row r="36" spans="1:7" ht="15.75" customHeight="1" x14ac:dyDescent="0.3">
      <c r="C36" s="47">
        <v>406.61</v>
      </c>
      <c r="D36" s="40">
        <f t="shared" si="0"/>
        <v>-6.1545530982967979E-3</v>
      </c>
      <c r="E36" s="5"/>
    </row>
    <row r="37" spans="1:7" ht="15.75" customHeight="1" x14ac:dyDescent="0.3">
      <c r="C37" s="47">
        <v>404.32</v>
      </c>
      <c r="D37" s="40">
        <f t="shared" si="0"/>
        <v>-1.1751823390234823E-2</v>
      </c>
      <c r="E37" s="5"/>
    </row>
    <row r="38" spans="1:7" ht="15.75" customHeight="1" x14ac:dyDescent="0.3">
      <c r="C38" s="47">
        <v>404.27</v>
      </c>
      <c r="D38" s="40">
        <f t="shared" si="0"/>
        <v>-1.1874034531980222E-2</v>
      </c>
      <c r="E38" s="5"/>
    </row>
    <row r="39" spans="1:7" ht="15.75" customHeight="1" x14ac:dyDescent="0.3">
      <c r="C39" s="47">
        <v>411.62</v>
      </c>
      <c r="D39" s="40">
        <f t="shared" si="0"/>
        <v>6.0910033045893184E-3</v>
      </c>
      <c r="E39" s="5"/>
    </row>
    <row r="40" spans="1:7" ht="15.75" customHeight="1" x14ac:dyDescent="0.3">
      <c r="C40" s="47">
        <v>413.52</v>
      </c>
      <c r="D40" s="40">
        <f t="shared" si="0"/>
        <v>1.0735026690913347E-2</v>
      </c>
      <c r="E40" s="5"/>
    </row>
    <row r="41" spans="1:7" ht="15.75" customHeight="1" x14ac:dyDescent="0.3">
      <c r="C41" s="47">
        <v>408.84</v>
      </c>
      <c r="D41" s="40">
        <f t="shared" si="0"/>
        <v>-7.0393617645336164E-4</v>
      </c>
      <c r="E41" s="5"/>
    </row>
    <row r="42" spans="1:7" ht="15.75" customHeight="1" x14ac:dyDescent="0.3">
      <c r="C42" s="47">
        <v>405.97</v>
      </c>
      <c r="D42" s="40">
        <f t="shared" si="0"/>
        <v>-7.7188557126375091E-3</v>
      </c>
      <c r="E42" s="5"/>
    </row>
    <row r="43" spans="1:7" ht="16.5" customHeight="1" x14ac:dyDescent="0.3">
      <c r="C43" s="48">
        <v>407.87</v>
      </c>
      <c r="D43" s="41">
        <f t="shared" si="0"/>
        <v>-3.0748323263134797E-3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8182.5599999999995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409.12799999999999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33">
        <f>C46</f>
        <v>409.12799999999999</v>
      </c>
      <c r="C49" s="45">
        <f>-IF(C46&lt;=80,10%,IF(C46&lt;250,7.5%,5%))</f>
        <v>-0.05</v>
      </c>
      <c r="D49" s="33">
        <f>IF(C46&lt;=80,C46*0.9,IF(C46&lt;250,C46*0.925,C46*0.95))</f>
        <v>388.67159999999996</v>
      </c>
    </row>
    <row r="50" spans="1:6" ht="17.25" customHeight="1" x14ac:dyDescent="0.3">
      <c r="B50" s="234"/>
      <c r="C50" s="46">
        <f>IF(C46&lt;=80, 10%, IF(C46&lt;250, 7.5%, 5%))</f>
        <v>0.05</v>
      </c>
      <c r="D50" s="33">
        <f>IF(C46&lt;=80, C46*1.1, IF(C46&lt;250, C46*1.075, C46*1.05))</f>
        <v>429.58440000000002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4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50" zoomScaleNormal="50" zoomScalePageLayoutView="55" workbookViewId="0">
      <selection activeCell="J3" sqref="J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1" t="s">
        <v>28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29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x14ac:dyDescent="0.3">
      <c r="A15" s="50"/>
    </row>
    <row r="16" spans="1:9" ht="19.5" customHeight="1" x14ac:dyDescent="0.3">
      <c r="A16" s="275" t="s">
        <v>14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30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52" t="s">
        <v>16</v>
      </c>
      <c r="B18" s="274" t="s">
        <v>2</v>
      </c>
      <c r="C18" s="274"/>
      <c r="D18" s="219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279" t="s">
        <v>5</v>
      </c>
      <c r="C20" s="279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279" t="s">
        <v>6</v>
      </c>
      <c r="C21" s="279"/>
      <c r="D21" s="279"/>
      <c r="E21" s="279"/>
      <c r="F21" s="279"/>
      <c r="G21" s="279"/>
      <c r="H21" s="279"/>
      <c r="I21" s="56"/>
    </row>
    <row r="22" spans="1:14" ht="26.25" customHeight="1" x14ac:dyDescent="0.4">
      <c r="A22" s="52" t="s">
        <v>20</v>
      </c>
      <c r="B22" s="57"/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274" t="s">
        <v>5</v>
      </c>
      <c r="C26" s="274"/>
    </row>
    <row r="27" spans="1:14" ht="26.25" customHeight="1" x14ac:dyDescent="0.4">
      <c r="A27" s="61" t="s">
        <v>31</v>
      </c>
      <c r="B27" s="272" t="s">
        <v>108</v>
      </c>
      <c r="C27" s="272"/>
    </row>
    <row r="28" spans="1:14" ht="27" customHeight="1" x14ac:dyDescent="0.4">
      <c r="A28" s="61" t="s">
        <v>3</v>
      </c>
      <c r="B28" s="62">
        <v>100</v>
      </c>
    </row>
    <row r="29" spans="1:14" s="3" customFormat="1" ht="27" customHeight="1" x14ac:dyDescent="0.4">
      <c r="A29" s="61" t="s">
        <v>32</v>
      </c>
      <c r="B29" s="63">
        <v>0</v>
      </c>
      <c r="C29" s="249" t="s">
        <v>33</v>
      </c>
      <c r="D29" s="250"/>
      <c r="E29" s="250"/>
      <c r="F29" s="250"/>
      <c r="G29" s="251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100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252" t="s">
        <v>36</v>
      </c>
      <c r="D31" s="253"/>
      <c r="E31" s="253"/>
      <c r="F31" s="253"/>
      <c r="G31" s="253"/>
      <c r="H31" s="254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252" t="s">
        <v>38</v>
      </c>
      <c r="D32" s="253"/>
      <c r="E32" s="253"/>
      <c r="F32" s="253"/>
      <c r="G32" s="253"/>
      <c r="H32" s="25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100</v>
      </c>
      <c r="C36" s="51"/>
      <c r="D36" s="255" t="s">
        <v>42</v>
      </c>
      <c r="E36" s="273"/>
      <c r="F36" s="255" t="s">
        <v>43</v>
      </c>
      <c r="G36" s="25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5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100</v>
      </c>
      <c r="C38" s="83">
        <v>1</v>
      </c>
      <c r="D38" s="84">
        <v>0.45269999999999999</v>
      </c>
      <c r="E38" s="85">
        <f>IF(ISBLANK(D38),"-",$D$48/$D$45*D38)</f>
        <v>0.42347988774555656</v>
      </c>
      <c r="F38" s="84">
        <v>0.44040000000000001</v>
      </c>
      <c r="G38" s="86">
        <f>IF(ISBLANK(F38),"-",$D$48/$F$45*F38)</f>
        <v>0.43028822667318034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8">
        <v>2</v>
      </c>
      <c r="D39" s="89">
        <v>0.4536</v>
      </c>
      <c r="E39" s="90">
        <f>IF(ISBLANK(D39),"-",$D$48/$D$45*D39)</f>
        <v>0.42432179607109449</v>
      </c>
      <c r="F39" s="89">
        <v>0.43609999999999999</v>
      </c>
      <c r="G39" s="91">
        <f>IF(ISBLANK(F39),"-",$D$48/$F$45*F39)</f>
        <v>0.42608695652173917</v>
      </c>
      <c r="I39" s="257">
        <f>ABS((F43/D43*D42)-F42)/D42</f>
        <v>7.5025036536326183E-3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8">
        <v>3</v>
      </c>
      <c r="D40" s="89">
        <v>0.45419999999999999</v>
      </c>
      <c r="E40" s="90">
        <f>IF(ISBLANK(D40),"-",$D$48/$D$45*D40)</f>
        <v>0.42488306828811973</v>
      </c>
      <c r="F40" s="89">
        <v>0.43630000000000002</v>
      </c>
      <c r="G40" s="91">
        <f>IF(ISBLANK(F40),"-",$D$48/$F$45*F40)</f>
        <v>0.42628236443575973</v>
      </c>
      <c r="I40" s="257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99">
        <f>AVERAGE(D38:D41)</f>
        <v>0.45350000000000001</v>
      </c>
      <c r="E42" s="100">
        <f>AVERAGE(E38:E41)</f>
        <v>0.42422825070159026</v>
      </c>
      <c r="F42" s="99">
        <f>AVERAGE(F38:F41)</f>
        <v>0.43760000000000004</v>
      </c>
      <c r="G42" s="101">
        <f>AVERAGE(G38:G41)</f>
        <v>0.42755251587689314</v>
      </c>
      <c r="H42" s="102"/>
    </row>
    <row r="43" spans="1:14" ht="26.25" customHeight="1" x14ac:dyDescent="0.4">
      <c r="A43" s="76" t="s">
        <v>55</v>
      </c>
      <c r="B43" s="77">
        <v>1</v>
      </c>
      <c r="C43" s="103" t="s">
        <v>56</v>
      </c>
      <c r="D43" s="104">
        <v>21.38</v>
      </c>
      <c r="E43" s="92"/>
      <c r="F43" s="104">
        <v>20.47</v>
      </c>
      <c r="H43" s="102"/>
    </row>
    <row r="44" spans="1:14" ht="26.25" customHeight="1" x14ac:dyDescent="0.4">
      <c r="A44" s="76" t="s">
        <v>57</v>
      </c>
      <c r="B44" s="77">
        <v>1</v>
      </c>
      <c r="C44" s="105" t="s">
        <v>58</v>
      </c>
      <c r="D44" s="106">
        <f>D43*$B$34</f>
        <v>21.38</v>
      </c>
      <c r="E44" s="107"/>
      <c r="F44" s="106">
        <f>F43*$B$34</f>
        <v>20.47</v>
      </c>
      <c r="H44" s="102"/>
    </row>
    <row r="45" spans="1:14" ht="19.5" customHeight="1" x14ac:dyDescent="0.3">
      <c r="A45" s="76" t="s">
        <v>59</v>
      </c>
      <c r="B45" s="108">
        <f>(B44/B43)*(B42/B41)*(B40/B39)*(B38/B37)*B36</f>
        <v>2000</v>
      </c>
      <c r="C45" s="105" t="s">
        <v>60</v>
      </c>
      <c r="D45" s="109">
        <f>D44*$B$30/100</f>
        <v>21.38</v>
      </c>
      <c r="E45" s="110"/>
      <c r="F45" s="109">
        <f>F44*$B$30/100</f>
        <v>20.47</v>
      </c>
      <c r="H45" s="102"/>
    </row>
    <row r="46" spans="1:14" ht="19.5" customHeight="1" x14ac:dyDescent="0.3">
      <c r="A46" s="243" t="s">
        <v>61</v>
      </c>
      <c r="B46" s="244"/>
      <c r="C46" s="105" t="s">
        <v>62</v>
      </c>
      <c r="D46" s="111">
        <f>D45/$B$45</f>
        <v>1.069E-2</v>
      </c>
      <c r="E46" s="112"/>
      <c r="F46" s="113">
        <f>F45/$B$45</f>
        <v>1.0234999999999999E-2</v>
      </c>
      <c r="H46" s="102"/>
    </row>
    <row r="47" spans="1:14" ht="27" customHeight="1" x14ac:dyDescent="0.4">
      <c r="A47" s="245"/>
      <c r="B47" s="246"/>
      <c r="C47" s="114" t="s">
        <v>63</v>
      </c>
      <c r="D47" s="115">
        <v>0.01</v>
      </c>
      <c r="E47" s="116"/>
      <c r="F47" s="112"/>
      <c r="H47" s="102"/>
    </row>
    <row r="48" spans="1:14" ht="18.75" x14ac:dyDescent="0.3">
      <c r="C48" s="117" t="s">
        <v>64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65</v>
      </c>
      <c r="D49" s="120">
        <f>D48/B34</f>
        <v>20</v>
      </c>
      <c r="F49" s="118"/>
      <c r="H49" s="102"/>
    </row>
    <row r="50" spans="1:12" ht="18.75" x14ac:dyDescent="0.3">
      <c r="C50" s="74" t="s">
        <v>66</v>
      </c>
      <c r="D50" s="121">
        <f>AVERAGE(E38:E41,G38:G41)</f>
        <v>0.42589038328924173</v>
      </c>
      <c r="F50" s="122"/>
      <c r="H50" s="102"/>
    </row>
    <row r="51" spans="1:12" ht="18.75" x14ac:dyDescent="0.3">
      <c r="C51" s="76" t="s">
        <v>67</v>
      </c>
      <c r="D51" s="123">
        <f>STDEV(E38:E41,G38:G41)/D50</f>
        <v>5.6371069847818362E-3</v>
      </c>
      <c r="F51" s="122"/>
      <c r="H51" s="102"/>
    </row>
    <row r="52" spans="1:12" ht="19.5" customHeight="1" x14ac:dyDescent="0.3">
      <c r="C52" s="124" t="s">
        <v>8</v>
      </c>
      <c r="D52" s="125">
        <f>COUNT(E38:E41,G38:G41)</f>
        <v>6</v>
      </c>
      <c r="F52" s="122"/>
    </row>
    <row r="54" spans="1:12" ht="18.75" x14ac:dyDescent="0.3">
      <c r="A54" s="126" t="s">
        <v>0</v>
      </c>
      <c r="B54" s="127" t="s">
        <v>68</v>
      </c>
    </row>
    <row r="55" spans="1:12" ht="18.75" x14ac:dyDescent="0.3">
      <c r="A55" s="51" t="s">
        <v>69</v>
      </c>
      <c r="B55" s="128" t="str">
        <f>B21</f>
        <v>Ethionamide 250mg</v>
      </c>
    </row>
    <row r="56" spans="1:12" ht="26.25" customHeight="1" x14ac:dyDescent="0.4">
      <c r="A56" s="129" t="s">
        <v>70</v>
      </c>
      <c r="B56" s="130">
        <v>250</v>
      </c>
      <c r="C56" s="51" t="str">
        <f>B20</f>
        <v>Ethionamide</v>
      </c>
      <c r="H56" s="131"/>
    </row>
    <row r="57" spans="1:12" ht="18.75" x14ac:dyDescent="0.3">
      <c r="A57" s="128" t="s">
        <v>71</v>
      </c>
      <c r="B57" s="220">
        <f>Uniformity!C46</f>
        <v>409.12799999999999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72</v>
      </c>
      <c r="B59" s="75">
        <v>200</v>
      </c>
      <c r="C59" s="51"/>
      <c r="D59" s="132" t="s">
        <v>73</v>
      </c>
      <c r="E59" s="133" t="s">
        <v>45</v>
      </c>
      <c r="F59" s="133" t="s">
        <v>46</v>
      </c>
      <c r="G59" s="133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1</v>
      </c>
      <c r="C60" s="260" t="s">
        <v>77</v>
      </c>
      <c r="D60" s="263">
        <v>411.3</v>
      </c>
      <c r="E60" s="134">
        <v>1</v>
      </c>
      <c r="F60" s="135">
        <v>0.51759999999999995</v>
      </c>
      <c r="G60" s="221">
        <f>IF(ISBLANK(F60),"-",(F60/$D$50*$D$47*$B$68)*($B$57/$D$60))</f>
        <v>241.78364638561305</v>
      </c>
      <c r="H60" s="136">
        <f t="shared" ref="H60:H71" si="0">IF(ISBLANK(F60),"-",G60/$B$56)</f>
        <v>0.96713458554245224</v>
      </c>
      <c r="L60" s="64"/>
    </row>
    <row r="61" spans="1:12" s="3" customFormat="1" ht="26.25" customHeight="1" x14ac:dyDescent="0.4">
      <c r="A61" s="76" t="s">
        <v>78</v>
      </c>
      <c r="B61" s="77">
        <v>100</v>
      </c>
      <c r="C61" s="261"/>
      <c r="D61" s="264"/>
      <c r="E61" s="137">
        <v>2</v>
      </c>
      <c r="F61" s="89">
        <v>0.52629999999999999</v>
      </c>
      <c r="G61" s="222">
        <f>IF(ISBLANK(F61),"-",(F61/$D$50*$D$47*$B$68)*($B$57/$D$60))</f>
        <v>245.84762962277463</v>
      </c>
      <c r="H61" s="138">
        <f t="shared" si="0"/>
        <v>0.98339051849109849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261"/>
      <c r="D62" s="264"/>
      <c r="E62" s="137">
        <v>3</v>
      </c>
      <c r="F62" s="139">
        <v>0.52410000000000001</v>
      </c>
      <c r="G62" s="222">
        <f>IF(ISBLANK(F62),"-",(F62/$D$50*$D$47*$B$68)*($B$57/$D$60))</f>
        <v>244.81995570073377</v>
      </c>
      <c r="H62" s="138">
        <f t="shared" si="0"/>
        <v>0.97927982280293513</v>
      </c>
      <c r="L62" s="64"/>
    </row>
    <row r="63" spans="1:12" ht="27" customHeight="1" x14ac:dyDescent="0.4">
      <c r="A63" s="76" t="s">
        <v>80</v>
      </c>
      <c r="B63" s="77">
        <v>1</v>
      </c>
      <c r="C63" s="271"/>
      <c r="D63" s="26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260" t="s">
        <v>82</v>
      </c>
      <c r="D64" s="263">
        <v>409</v>
      </c>
      <c r="E64" s="134">
        <v>1</v>
      </c>
      <c r="F64" s="135">
        <v>0.52480000000000004</v>
      </c>
      <c r="G64" s="223">
        <f>IF(ISBLANK(F64),"-",(F64/$D$50*$D$47*$B$68)*($B$57/$D$64))</f>
        <v>246.52551979802266</v>
      </c>
      <c r="H64" s="142">
        <f t="shared" si="0"/>
        <v>0.98610207919209059</v>
      </c>
    </row>
    <row r="65" spans="1:8" ht="26.25" customHeight="1" x14ac:dyDescent="0.4">
      <c r="A65" s="76" t="s">
        <v>83</v>
      </c>
      <c r="B65" s="77">
        <v>1</v>
      </c>
      <c r="C65" s="261"/>
      <c r="D65" s="264"/>
      <c r="E65" s="137">
        <v>2</v>
      </c>
      <c r="F65" s="89">
        <v>0.52370000000000005</v>
      </c>
      <c r="G65" s="224">
        <f>IF(ISBLANK(F65),"-",(F65/$D$50*$D$47*$B$68)*($B$57/$D$64))</f>
        <v>246.00879328929966</v>
      </c>
      <c r="H65" s="143">
        <f t="shared" si="0"/>
        <v>0.98403517315719868</v>
      </c>
    </row>
    <row r="66" spans="1:8" ht="26.25" customHeight="1" x14ac:dyDescent="0.4">
      <c r="A66" s="76" t="s">
        <v>84</v>
      </c>
      <c r="B66" s="77">
        <v>1</v>
      </c>
      <c r="C66" s="261"/>
      <c r="D66" s="264"/>
      <c r="E66" s="137">
        <v>3</v>
      </c>
      <c r="F66" s="89">
        <v>0.51900000000000002</v>
      </c>
      <c r="G66" s="224">
        <f>IF(ISBLANK(F66),"-",(F66/$D$50*$D$47*$B$68)*($B$57/$D$64))</f>
        <v>243.80096184293777</v>
      </c>
      <c r="H66" s="143">
        <f t="shared" si="0"/>
        <v>0.97520384737175103</v>
      </c>
    </row>
    <row r="67" spans="1:8" ht="27" customHeight="1" x14ac:dyDescent="0.4">
      <c r="A67" s="76" t="s">
        <v>85</v>
      </c>
      <c r="B67" s="77">
        <v>1</v>
      </c>
      <c r="C67" s="271"/>
      <c r="D67" s="26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86</v>
      </c>
      <c r="B68" s="145">
        <f>(B67/B66)*(B65/B64)*(B63/B62)*(B61/B60)*B59</f>
        <v>20000</v>
      </c>
      <c r="C68" s="260" t="s">
        <v>87</v>
      </c>
      <c r="D68" s="263">
        <v>403.1</v>
      </c>
      <c r="E68" s="134">
        <v>1</v>
      </c>
      <c r="F68" s="135">
        <v>0.50560000000000005</v>
      </c>
      <c r="G68" s="223">
        <f>IF(ISBLANK(F68),"-",(F68/$D$50*$D$47*$B$68)*($B$57/$D$68))</f>
        <v>240.98257014823864</v>
      </c>
      <c r="H68" s="138">
        <f t="shared" si="0"/>
        <v>0.96393028059295449</v>
      </c>
    </row>
    <row r="69" spans="1:8" ht="27" customHeight="1" x14ac:dyDescent="0.4">
      <c r="A69" s="124" t="s">
        <v>88</v>
      </c>
      <c r="B69" s="146">
        <f>(D47*B68)/B56*B57</f>
        <v>327.30240000000003</v>
      </c>
      <c r="C69" s="261"/>
      <c r="D69" s="264"/>
      <c r="E69" s="137">
        <v>2</v>
      </c>
      <c r="F69" s="89">
        <v>0.502</v>
      </c>
      <c r="G69" s="224">
        <f>IF(ISBLANK(F69),"-",(F69/$D$50*$D$47*$B$68)*($B$57/$D$68))</f>
        <v>239.26671324053751</v>
      </c>
      <c r="H69" s="138">
        <f t="shared" si="0"/>
        <v>0.95706685296215011</v>
      </c>
    </row>
    <row r="70" spans="1:8" ht="26.25" customHeight="1" x14ac:dyDescent="0.4">
      <c r="A70" s="266" t="s">
        <v>61</v>
      </c>
      <c r="B70" s="267"/>
      <c r="C70" s="261"/>
      <c r="D70" s="264"/>
      <c r="E70" s="137">
        <v>3</v>
      </c>
      <c r="F70" s="89">
        <v>0.50070000000000003</v>
      </c>
      <c r="G70" s="224">
        <f>IF(ISBLANK(F70),"-",(F70/$D$50*$D$47*$B$68)*($B$57/$D$68))</f>
        <v>238.64709824608994</v>
      </c>
      <c r="H70" s="138">
        <f t="shared" si="0"/>
        <v>0.95458839298435971</v>
      </c>
    </row>
    <row r="71" spans="1:8" ht="27" customHeight="1" x14ac:dyDescent="0.4">
      <c r="A71" s="268"/>
      <c r="B71" s="269"/>
      <c r="C71" s="262"/>
      <c r="D71" s="26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54</v>
      </c>
      <c r="G72" s="230">
        <f>AVERAGE(G60:G71)</f>
        <v>243.07587647491638</v>
      </c>
      <c r="H72" s="151">
        <f>AVERAGE(H60:H71)</f>
        <v>0.97230350589966563</v>
      </c>
    </row>
    <row r="73" spans="1:8" ht="26.25" customHeight="1" x14ac:dyDescent="0.4">
      <c r="C73" s="148"/>
      <c r="D73" s="148"/>
      <c r="E73" s="148"/>
      <c r="F73" s="152" t="s">
        <v>67</v>
      </c>
      <c r="G73" s="226">
        <f>STDEV(G60:G71)/G72</f>
        <v>1.2335636360367446E-2</v>
      </c>
      <c r="H73" s="226">
        <f>STDEV(H60:H71)/H72</f>
        <v>1.2335636360367443E-2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8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89</v>
      </c>
      <c r="B76" s="156" t="s">
        <v>90</v>
      </c>
      <c r="C76" s="247" t="str">
        <f>B20</f>
        <v>Ethionamide</v>
      </c>
      <c r="D76" s="247"/>
      <c r="E76" s="157" t="s">
        <v>91</v>
      </c>
      <c r="F76" s="157"/>
      <c r="G76" s="158">
        <f>H72</f>
        <v>0.97230350589966563</v>
      </c>
      <c r="H76" s="159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270" t="str">
        <f>B26</f>
        <v>Ethionamide</v>
      </c>
      <c r="C79" s="270"/>
    </row>
    <row r="80" spans="1:8" ht="26.25" customHeight="1" x14ac:dyDescent="0.4">
      <c r="A80" s="61" t="s">
        <v>31</v>
      </c>
      <c r="B80" s="270" t="str">
        <f>B27</f>
        <v>E26-1</v>
      </c>
      <c r="C80" s="270"/>
    </row>
    <row r="81" spans="1:12" ht="27" customHeight="1" x14ac:dyDescent="0.4">
      <c r="A81" s="61" t="s">
        <v>3</v>
      </c>
      <c r="B81" s="160">
        <f>B28</f>
        <v>100</v>
      </c>
    </row>
    <row r="82" spans="1:12" s="3" customFormat="1" ht="27" customHeight="1" x14ac:dyDescent="0.4">
      <c r="A82" s="61" t="s">
        <v>32</v>
      </c>
      <c r="B82" s="63">
        <v>0</v>
      </c>
      <c r="C82" s="249" t="s">
        <v>33</v>
      </c>
      <c r="D82" s="250"/>
      <c r="E82" s="250"/>
      <c r="F82" s="250"/>
      <c r="G82" s="251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100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252" t="s">
        <v>94</v>
      </c>
      <c r="D84" s="253"/>
      <c r="E84" s="253"/>
      <c r="F84" s="253"/>
      <c r="G84" s="253"/>
      <c r="H84" s="254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252" t="s">
        <v>95</v>
      </c>
      <c r="D85" s="253"/>
      <c r="E85" s="253"/>
      <c r="F85" s="253"/>
      <c r="G85" s="253"/>
      <c r="H85" s="25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100</v>
      </c>
      <c r="D89" s="161" t="s">
        <v>42</v>
      </c>
      <c r="E89" s="162"/>
      <c r="F89" s="255" t="s">
        <v>43</v>
      </c>
      <c r="G89" s="256"/>
    </row>
    <row r="90" spans="1:12" ht="27" customHeight="1" x14ac:dyDescent="0.4">
      <c r="A90" s="76" t="s">
        <v>44</v>
      </c>
      <c r="B90" s="77">
        <v>5</v>
      </c>
      <c r="C90" s="163" t="s">
        <v>45</v>
      </c>
      <c r="D90" s="79" t="s">
        <v>46</v>
      </c>
      <c r="E90" s="80" t="s">
        <v>47</v>
      </c>
      <c r="F90" s="79" t="s">
        <v>46</v>
      </c>
      <c r="G90" s="164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100</v>
      </c>
      <c r="C91" s="165">
        <v>1</v>
      </c>
      <c r="D91" s="84">
        <v>0.43109999999999998</v>
      </c>
      <c r="E91" s="85">
        <f>IF(ISBLANK(D91),"-",$D$101/$D$98*D91)</f>
        <v>0.55082796688132474</v>
      </c>
      <c r="F91" s="84">
        <v>0.41539999999999999</v>
      </c>
      <c r="G91" s="86">
        <f>IF(ISBLANK(F91),"-",$D$101/$F$98*F91)</f>
        <v>0.56507781042550864</v>
      </c>
      <c r="I91" s="87"/>
    </row>
    <row r="92" spans="1:12" ht="26.25" customHeight="1" x14ac:dyDescent="0.4">
      <c r="A92" s="76" t="s">
        <v>50</v>
      </c>
      <c r="B92" s="77">
        <v>1</v>
      </c>
      <c r="C92" s="149">
        <v>2</v>
      </c>
      <c r="D92" s="89">
        <v>0.43149999999999999</v>
      </c>
      <c r="E92" s="90">
        <f>IF(ISBLANK(D92),"-",$D$101/$D$98*D92)</f>
        <v>0.55133905754880919</v>
      </c>
      <c r="F92" s="89">
        <v>0.4143</v>
      </c>
      <c r="G92" s="91">
        <f>IF(ISBLANK(F92),"-",$D$101/$F$98*F92)</f>
        <v>0.56358145608880172</v>
      </c>
      <c r="I92" s="257">
        <f>ABS((F96/D96*D95)-F95)/D95</f>
        <v>2.2223329973811778E-2</v>
      </c>
    </row>
    <row r="93" spans="1:12" ht="26.25" customHeight="1" x14ac:dyDescent="0.4">
      <c r="A93" s="76" t="s">
        <v>51</v>
      </c>
      <c r="B93" s="77">
        <v>1</v>
      </c>
      <c r="C93" s="149">
        <v>3</v>
      </c>
      <c r="D93" s="89">
        <v>0.43109999999999998</v>
      </c>
      <c r="E93" s="90">
        <f>IF(ISBLANK(D93),"-",$D$101/$D$98*D93)</f>
        <v>0.55082796688132474</v>
      </c>
      <c r="F93" s="89">
        <v>0.41420000000000001</v>
      </c>
      <c r="G93" s="91">
        <f>IF(ISBLANK(F93),"-",$D$101/$F$98*F93)</f>
        <v>0.56344542387637386</v>
      </c>
      <c r="I93" s="257"/>
    </row>
    <row r="94" spans="1:12" ht="27" customHeight="1" x14ac:dyDescent="0.4">
      <c r="A94" s="76" t="s">
        <v>52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68" t="s">
        <v>54</v>
      </c>
      <c r="D95" s="169">
        <f>AVERAGE(D91:D94)</f>
        <v>0.43123333333333336</v>
      </c>
      <c r="E95" s="100">
        <f>AVERAGE(E91:E94)</f>
        <v>0.55099833043715296</v>
      </c>
      <c r="F95" s="170">
        <f>AVERAGE(F91:F94)</f>
        <v>0.41463333333333335</v>
      </c>
      <c r="G95" s="171">
        <f>AVERAGE(G91:G94)</f>
        <v>0.56403489679689478</v>
      </c>
    </row>
    <row r="96" spans="1:12" ht="26.25" customHeight="1" x14ac:dyDescent="0.4">
      <c r="A96" s="76" t="s">
        <v>55</v>
      </c>
      <c r="B96" s="62">
        <v>1</v>
      </c>
      <c r="C96" s="172" t="s">
        <v>96</v>
      </c>
      <c r="D96" s="173">
        <v>21.74</v>
      </c>
      <c r="E96" s="92"/>
      <c r="F96" s="104">
        <v>20.420000000000002</v>
      </c>
    </row>
    <row r="97" spans="1:10" ht="26.25" customHeight="1" x14ac:dyDescent="0.4">
      <c r="A97" s="76" t="s">
        <v>57</v>
      </c>
      <c r="B97" s="62">
        <v>1</v>
      </c>
      <c r="C97" s="174" t="s">
        <v>97</v>
      </c>
      <c r="D97" s="175">
        <f>D96*$B$87</f>
        <v>21.74</v>
      </c>
      <c r="E97" s="107"/>
      <c r="F97" s="106">
        <f>F96*$B$87</f>
        <v>20.420000000000002</v>
      </c>
    </row>
    <row r="98" spans="1:10" ht="19.5" customHeight="1" x14ac:dyDescent="0.3">
      <c r="A98" s="76" t="s">
        <v>59</v>
      </c>
      <c r="B98" s="176">
        <f>(B97/B96)*(B95/B94)*(B93/B92)*(B91/B90)*B89</f>
        <v>2000</v>
      </c>
      <c r="C98" s="174" t="s">
        <v>98</v>
      </c>
      <c r="D98" s="177">
        <f>D97*$B$83/100</f>
        <v>21.74</v>
      </c>
      <c r="E98" s="110"/>
      <c r="F98" s="109">
        <f>F97*$B$83/100</f>
        <v>20.420000000000002</v>
      </c>
    </row>
    <row r="99" spans="1:10" ht="19.5" customHeight="1" x14ac:dyDescent="0.3">
      <c r="A99" s="243" t="s">
        <v>61</v>
      </c>
      <c r="B99" s="258"/>
      <c r="C99" s="174" t="s">
        <v>99</v>
      </c>
      <c r="D99" s="178">
        <f>D98/$B$98</f>
        <v>1.0869999999999999E-2</v>
      </c>
      <c r="E99" s="110"/>
      <c r="F99" s="113">
        <f>F98/$B$98</f>
        <v>1.021E-2</v>
      </c>
      <c r="G99" s="179"/>
      <c r="H99" s="102"/>
    </row>
    <row r="100" spans="1:10" ht="19.5" customHeight="1" x14ac:dyDescent="0.3">
      <c r="A100" s="245"/>
      <c r="B100" s="259"/>
      <c r="C100" s="174" t="s">
        <v>63</v>
      </c>
      <c r="D100" s="180">
        <f>$B$56/$B$116</f>
        <v>1.3888888888888888E-2</v>
      </c>
      <c r="F100" s="118"/>
      <c r="G100" s="181"/>
      <c r="H100" s="102"/>
    </row>
    <row r="101" spans="1:10" ht="18.75" x14ac:dyDescent="0.3">
      <c r="C101" s="174" t="s">
        <v>64</v>
      </c>
      <c r="D101" s="175">
        <f>D100*$B$98</f>
        <v>27.777777777777775</v>
      </c>
      <c r="F101" s="118"/>
      <c r="G101" s="179"/>
      <c r="H101" s="102"/>
    </row>
    <row r="102" spans="1:10" ht="19.5" customHeight="1" x14ac:dyDescent="0.3">
      <c r="C102" s="182" t="s">
        <v>65</v>
      </c>
      <c r="D102" s="183">
        <f>D101/B34</f>
        <v>27.777777777777775</v>
      </c>
      <c r="F102" s="122"/>
      <c r="G102" s="179"/>
      <c r="H102" s="102"/>
      <c r="J102" s="184"/>
    </row>
    <row r="103" spans="1:10" ht="18.75" x14ac:dyDescent="0.3">
      <c r="C103" s="185" t="s">
        <v>100</v>
      </c>
      <c r="D103" s="186">
        <f>AVERAGE(E91:E94,G91:G94)</f>
        <v>0.55751661361702387</v>
      </c>
      <c r="F103" s="122"/>
      <c r="G103" s="187"/>
      <c r="H103" s="102"/>
      <c r="J103" s="188"/>
    </row>
    <row r="104" spans="1:10" ht="18.75" x14ac:dyDescent="0.3">
      <c r="C104" s="152" t="s">
        <v>67</v>
      </c>
      <c r="D104" s="189">
        <f>STDEV(E91:E94,G91:G94)/D103</f>
        <v>1.2853058465515847E-2</v>
      </c>
      <c r="F104" s="122"/>
      <c r="G104" s="179"/>
      <c r="H104" s="102"/>
      <c r="J104" s="188"/>
    </row>
    <row r="105" spans="1:10" ht="19.5" customHeight="1" x14ac:dyDescent="0.3">
      <c r="C105" s="154" t="s">
        <v>8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101</v>
      </c>
      <c r="B107" s="75">
        <v>900</v>
      </c>
      <c r="C107" s="191" t="s">
        <v>102</v>
      </c>
      <c r="D107" s="192" t="s">
        <v>46</v>
      </c>
      <c r="E107" s="193" t="s">
        <v>103</v>
      </c>
      <c r="F107" s="194" t="s">
        <v>104</v>
      </c>
    </row>
    <row r="108" spans="1:10" ht="26.25" customHeight="1" x14ac:dyDescent="0.4">
      <c r="A108" s="76" t="s">
        <v>105</v>
      </c>
      <c r="B108" s="77">
        <v>5</v>
      </c>
      <c r="C108" s="195">
        <v>1</v>
      </c>
      <c r="D108" s="196">
        <v>0.55579999999999996</v>
      </c>
      <c r="E108" s="227">
        <f t="shared" ref="E108:E113" si="1">IF(ISBLANK(D108),"-",D108/$D$103*$D$100*$B$116)</f>
        <v>249.2302410479362</v>
      </c>
      <c r="F108" s="197">
        <f t="shared" ref="F108:F113" si="2">IF(ISBLANK(D108), "-", E108/$B$56)</f>
        <v>0.99692096419174481</v>
      </c>
    </row>
    <row r="109" spans="1:10" ht="26.25" customHeight="1" x14ac:dyDescent="0.4">
      <c r="A109" s="76" t="s">
        <v>78</v>
      </c>
      <c r="B109" s="77">
        <v>100</v>
      </c>
      <c r="C109" s="195">
        <v>2</v>
      </c>
      <c r="D109" s="196">
        <v>0.55549999999999999</v>
      </c>
      <c r="E109" s="228">
        <f t="shared" si="1"/>
        <v>249.09571590883155</v>
      </c>
      <c r="F109" s="198">
        <f t="shared" si="2"/>
        <v>0.99638286363532624</v>
      </c>
    </row>
    <row r="110" spans="1:10" ht="26.25" customHeight="1" x14ac:dyDescent="0.4">
      <c r="A110" s="76" t="s">
        <v>79</v>
      </c>
      <c r="B110" s="77">
        <v>1</v>
      </c>
      <c r="C110" s="195">
        <v>3</v>
      </c>
      <c r="D110" s="196">
        <v>0.55149999999999999</v>
      </c>
      <c r="E110" s="228">
        <f t="shared" si="1"/>
        <v>247.30204738743583</v>
      </c>
      <c r="F110" s="198">
        <f t="shared" si="2"/>
        <v>0.98920818954974332</v>
      </c>
    </row>
    <row r="111" spans="1:10" ht="26.25" customHeight="1" x14ac:dyDescent="0.4">
      <c r="A111" s="76" t="s">
        <v>80</v>
      </c>
      <c r="B111" s="77">
        <v>1</v>
      </c>
      <c r="C111" s="195">
        <v>4</v>
      </c>
      <c r="D111" s="196">
        <v>0.56369999999999998</v>
      </c>
      <c r="E111" s="228">
        <f t="shared" si="1"/>
        <v>252.77273637769281</v>
      </c>
      <c r="F111" s="198">
        <f t="shared" si="2"/>
        <v>1.0110909455107713</v>
      </c>
    </row>
    <row r="112" spans="1:10" ht="26.25" customHeight="1" x14ac:dyDescent="0.4">
      <c r="A112" s="76" t="s">
        <v>81</v>
      </c>
      <c r="B112" s="77">
        <v>1</v>
      </c>
      <c r="C112" s="195">
        <v>5</v>
      </c>
      <c r="D112" s="196">
        <v>0.56710000000000005</v>
      </c>
      <c r="E112" s="228">
        <f t="shared" si="1"/>
        <v>254.29735462087919</v>
      </c>
      <c r="F112" s="198">
        <f t="shared" si="2"/>
        <v>1.0171894184835168</v>
      </c>
    </row>
    <row r="113" spans="1:10" ht="26.25" customHeight="1" x14ac:dyDescent="0.4">
      <c r="A113" s="76" t="s">
        <v>83</v>
      </c>
      <c r="B113" s="77">
        <v>1</v>
      </c>
      <c r="C113" s="199">
        <v>6</v>
      </c>
      <c r="D113" s="200">
        <v>0.56120000000000003</v>
      </c>
      <c r="E113" s="229">
        <f t="shared" si="1"/>
        <v>251.65169355182047</v>
      </c>
      <c r="F113" s="201">
        <f t="shared" si="2"/>
        <v>1.006606774207282</v>
      </c>
    </row>
    <row r="114" spans="1:10" ht="26.25" customHeight="1" x14ac:dyDescent="0.4">
      <c r="A114" s="76" t="s">
        <v>84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85</v>
      </c>
      <c r="B115" s="77">
        <v>1</v>
      </c>
      <c r="C115" s="195"/>
      <c r="D115" s="203" t="s">
        <v>54</v>
      </c>
      <c r="E115" s="231">
        <f>AVERAGE(E108:E113)</f>
        <v>250.72496481576601</v>
      </c>
      <c r="F115" s="204">
        <f>AVERAGE(F108:F113)</f>
        <v>1.002899859263064</v>
      </c>
    </row>
    <row r="116" spans="1:10" ht="27" customHeight="1" x14ac:dyDescent="0.4">
      <c r="A116" s="76" t="s">
        <v>86</v>
      </c>
      <c r="B116" s="108">
        <f>(B115/B114)*(B113/B112)*(B111/B110)*(B109/B108)*B107</f>
        <v>18000</v>
      </c>
      <c r="C116" s="205"/>
      <c r="D116" s="168" t="s">
        <v>67</v>
      </c>
      <c r="E116" s="206">
        <f>STDEV(E108:E113)/E115</f>
        <v>1.046448037492337E-2</v>
      </c>
      <c r="F116" s="206">
        <f>STDEV(F108:F113)/F115</f>
        <v>1.0464480374923405E-2</v>
      </c>
      <c r="I116" s="50"/>
    </row>
    <row r="117" spans="1:10" ht="27" customHeight="1" x14ac:dyDescent="0.4">
      <c r="A117" s="243" t="s">
        <v>61</v>
      </c>
      <c r="B117" s="244"/>
      <c r="C117" s="207"/>
      <c r="D117" s="208" t="s">
        <v>8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45"/>
      <c r="B118" s="24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89</v>
      </c>
      <c r="B120" s="156" t="s">
        <v>106</v>
      </c>
      <c r="C120" s="247" t="str">
        <f>B20</f>
        <v>Ethionamide</v>
      </c>
      <c r="D120" s="247"/>
      <c r="E120" s="157" t="s">
        <v>107</v>
      </c>
      <c r="F120" s="157"/>
      <c r="G120" s="158">
        <f>F115</f>
        <v>1.002899859263064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48" t="s">
        <v>9</v>
      </c>
      <c r="C122" s="248"/>
      <c r="E122" s="163" t="s">
        <v>10</v>
      </c>
      <c r="F122" s="212"/>
      <c r="G122" s="248" t="s">
        <v>11</v>
      </c>
      <c r="H122" s="248"/>
    </row>
    <row r="123" spans="1:10" ht="69.95" customHeight="1" x14ac:dyDescent="0.3">
      <c r="A123" s="213" t="s">
        <v>12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13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ethionamide</vt:lpstr>
      <vt:lpstr>ethionamide!Print_Area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2016-05-24T07:37:13Z</cp:lastPrinted>
  <dcterms:created xsi:type="dcterms:W3CDTF">2005-07-05T10:19:27Z</dcterms:created>
  <dcterms:modified xsi:type="dcterms:W3CDTF">2016-05-24T07:38:40Z</dcterms:modified>
</cp:coreProperties>
</file>