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30" windowHeight="10680" activeTab="2"/>
  </bookViews>
  <sheets>
    <sheet name="SST" sheetId="6" r:id="rId1"/>
    <sheet name="Uniformity" sheetId="2" r:id="rId2"/>
    <sheet name="Glimepiride 1" sheetId="4" r:id="rId3"/>
    <sheet name="Glimepiride 2" sheetId="5" r:id="rId4"/>
  </sheets>
  <definedNames>
    <definedName name="_xlnm.Print_Area" localSheetId="2">'Glimepiride 1'!$A$1:$H$126</definedName>
    <definedName name="_xlnm.Print_Area" localSheetId="3">'Glimepiride 2'!$A$1:$H$88</definedName>
    <definedName name="_xlnm.Print_Area" localSheetId="0">SST!$A$1:$G$49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40" i="6" l="1"/>
  <c r="E38" i="6"/>
  <c r="D38" i="6"/>
  <c r="C38" i="6"/>
  <c r="B38" i="6"/>
  <c r="B39" i="6" s="1"/>
  <c r="B19" i="6"/>
  <c r="E17" i="6"/>
  <c r="D17" i="6"/>
  <c r="C17" i="6"/>
  <c r="B17" i="6"/>
  <c r="B18" i="6" s="1"/>
  <c r="F108" i="4"/>
  <c r="C74" i="5"/>
  <c r="B67" i="5"/>
  <c r="C56" i="5"/>
  <c r="B55" i="5"/>
  <c r="B45" i="5"/>
  <c r="D48" i="5" s="1"/>
  <c r="D49" i="5" s="1"/>
  <c r="F42" i="5"/>
  <c r="D42" i="5"/>
  <c r="G41" i="5"/>
  <c r="E41" i="5"/>
  <c r="B34" i="5"/>
  <c r="D44" i="5" s="1"/>
  <c r="B30" i="5"/>
  <c r="C120" i="4"/>
  <c r="B116" i="4"/>
  <c r="D100" i="4" s="1"/>
  <c r="D101" i="4" s="1"/>
  <c r="B98" i="4"/>
  <c r="F95" i="4"/>
  <c r="D95" i="4"/>
  <c r="B87" i="4"/>
  <c r="D97" i="4" s="1"/>
  <c r="B83" i="4"/>
  <c r="C76" i="4"/>
  <c r="B68" i="4"/>
  <c r="B69" i="4" s="1"/>
  <c r="C56" i="4"/>
  <c r="B55" i="4"/>
  <c r="B45" i="4"/>
  <c r="D48" i="4" s="1"/>
  <c r="F42" i="4"/>
  <c r="D42" i="4"/>
  <c r="B34" i="4"/>
  <c r="F44" i="4" s="1"/>
  <c r="B30" i="4"/>
  <c r="D50" i="2"/>
  <c r="C49" i="2"/>
  <c r="B49" i="2"/>
  <c r="C46" i="2"/>
  <c r="B57" i="4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F44" i="5" l="1"/>
  <c r="F45" i="5" s="1"/>
  <c r="D45" i="5"/>
  <c r="D46" i="5" s="1"/>
  <c r="E38" i="5"/>
  <c r="E40" i="5"/>
  <c r="E39" i="5"/>
  <c r="I39" i="4"/>
  <c r="D44" i="4"/>
  <c r="D45" i="4" s="1"/>
  <c r="D46" i="4" s="1"/>
  <c r="F45" i="4"/>
  <c r="F46" i="4" s="1"/>
  <c r="I92" i="4"/>
  <c r="F97" i="4"/>
  <c r="F98" i="4" s="1"/>
  <c r="D98" i="4"/>
  <c r="D99" i="4" s="1"/>
  <c r="E94" i="4"/>
  <c r="D102" i="4"/>
  <c r="D49" i="4"/>
  <c r="C50" i="2"/>
  <c r="B57" i="5"/>
  <c r="D49" i="2"/>
  <c r="E42" i="5" l="1"/>
  <c r="F46" i="5"/>
  <c r="G40" i="5"/>
  <c r="G38" i="5"/>
  <c r="G42" i="5" s="1"/>
  <c r="G39" i="5"/>
  <c r="G40" i="4"/>
  <c r="G38" i="4"/>
  <c r="E38" i="4"/>
  <c r="G39" i="4"/>
  <c r="G41" i="4"/>
  <c r="E40" i="4"/>
  <c r="E39" i="4"/>
  <c r="E41" i="4"/>
  <c r="E93" i="4"/>
  <c r="E91" i="4"/>
  <c r="F99" i="4"/>
  <c r="G92" i="4"/>
  <c r="G94" i="4"/>
  <c r="G93" i="4"/>
  <c r="G91" i="4"/>
  <c r="E92" i="4"/>
  <c r="D50" i="5" l="1"/>
  <c r="D52" i="5"/>
  <c r="G42" i="4"/>
  <c r="D50" i="4"/>
  <c r="G67" i="4" s="1"/>
  <c r="H67" i="4" s="1"/>
  <c r="E42" i="4"/>
  <c r="D52" i="4"/>
  <c r="D105" i="4"/>
  <c r="G95" i="4"/>
  <c r="D103" i="4"/>
  <c r="E113" i="4" s="1"/>
  <c r="F113" i="4" s="1"/>
  <c r="E95" i="4"/>
  <c r="D51" i="4" l="1"/>
  <c r="D51" i="5"/>
  <c r="E62" i="5"/>
  <c r="E67" i="5"/>
  <c r="G67" i="5" s="1"/>
  <c r="E64" i="5"/>
  <c r="E59" i="5"/>
  <c r="E68" i="5"/>
  <c r="E63" i="5"/>
  <c r="E61" i="5"/>
  <c r="E60" i="5"/>
  <c r="E65" i="5"/>
  <c r="E66" i="5"/>
  <c r="G70" i="4"/>
  <c r="H70" i="4" s="1"/>
  <c r="G64" i="4"/>
  <c r="H64" i="4" s="1"/>
  <c r="G66" i="4"/>
  <c r="H66" i="4" s="1"/>
  <c r="G61" i="4"/>
  <c r="H61" i="4" s="1"/>
  <c r="G68" i="4"/>
  <c r="H68" i="4" s="1"/>
  <c r="G63" i="4"/>
  <c r="H63" i="4" s="1"/>
  <c r="G60" i="4"/>
  <c r="H60" i="4" s="1"/>
  <c r="G69" i="4"/>
  <c r="H69" i="4" s="1"/>
  <c r="G65" i="4"/>
  <c r="H65" i="4" s="1"/>
  <c r="G62" i="4"/>
  <c r="H62" i="4" s="1"/>
  <c r="G71" i="4"/>
  <c r="H71" i="4" s="1"/>
  <c r="E109" i="4"/>
  <c r="F109" i="4" s="1"/>
  <c r="E112" i="4"/>
  <c r="F112" i="4" s="1"/>
  <c r="E111" i="4"/>
  <c r="F111" i="4" s="1"/>
  <c r="E108" i="4"/>
  <c r="D104" i="4"/>
  <c r="E110" i="4"/>
  <c r="F110" i="4" s="1"/>
  <c r="G60" i="5" l="1"/>
  <c r="G59" i="5"/>
  <c r="E72" i="5"/>
  <c r="E70" i="5"/>
  <c r="F67" i="5" s="1"/>
  <c r="E71" i="5"/>
  <c r="G61" i="5"/>
  <c r="G64" i="5"/>
  <c r="F64" i="5"/>
  <c r="G66" i="5"/>
  <c r="G63" i="5"/>
  <c r="G65" i="5"/>
  <c r="G68" i="5"/>
  <c r="G62" i="5"/>
  <c r="G72" i="4"/>
  <c r="G73" i="4" s="1"/>
  <c r="G74" i="4"/>
  <c r="E115" i="4"/>
  <c r="E116" i="4" s="1"/>
  <c r="E117" i="4"/>
  <c r="F117" i="4"/>
  <c r="H74" i="4"/>
  <c r="H72" i="4"/>
  <c r="G76" i="4" s="1"/>
  <c r="F63" i="5" l="1"/>
  <c r="F68" i="5"/>
  <c r="C81" i="5"/>
  <c r="G70" i="5"/>
  <c r="G72" i="5"/>
  <c r="G71" i="5"/>
  <c r="F65" i="5"/>
  <c r="F66" i="5"/>
  <c r="F61" i="5"/>
  <c r="F60" i="5"/>
  <c r="F62" i="5"/>
  <c r="F59" i="5"/>
  <c r="F115" i="4"/>
  <c r="G120" i="4" s="1"/>
  <c r="H73" i="4"/>
  <c r="F72" i="5" l="1"/>
  <c r="F70" i="5"/>
  <c r="F71" i="5" s="1"/>
  <c r="C82" i="5"/>
  <c r="C83" i="5" s="1"/>
  <c r="C79" i="5"/>
  <c r="G74" i="5"/>
  <c r="F116" i="4"/>
</calcChain>
</file>

<file path=xl/sharedStrings.xml><?xml version="1.0" encoding="utf-8"?>
<sst xmlns="http://schemas.openxmlformats.org/spreadsheetml/2006/main" count="334" uniqueCount="152">
  <si>
    <t>HPLC System Suitability Report</t>
  </si>
  <si>
    <t>Analysis Data</t>
  </si>
  <si>
    <t>Assay</t>
  </si>
  <si>
    <t>Sample(s)</t>
  </si>
  <si>
    <t>Reference Substance:</t>
  </si>
  <si>
    <t>GLYPIN TABLETS 3MGGLIMEPIRIDE TABLETS USP 3MG</t>
  </si>
  <si>
    <t>% age Purity:</t>
  </si>
  <si>
    <t>NDQD201509252</t>
  </si>
  <si>
    <t>Weight (mg):</t>
  </si>
  <si>
    <t xml:space="preserve">GLIMEPIRIDE USP </t>
  </si>
  <si>
    <t>Standard Conc (mg/mL):</t>
  </si>
  <si>
    <t>Glimepiride tablets usp 3mg.
Lactose and other excipients</t>
  </si>
  <si>
    <t>2015-09-04 12:12:20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</si>
  <si>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</si>
  <si>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</si>
  <si>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</si>
  <si>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</si>
  <si>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</si>
  <si>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</si>
  <si>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</si>
  <si>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</si>
  <si>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</si>
  <si>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</si>
  <si>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</si>
  <si>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</si>
  <si>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</si>
  <si>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</si>
  <si>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</si>
  <si>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</si>
  <si>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</si>
  <si>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</si>
  <si>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</si>
  <si>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</si>
  <si>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</si>
  <si>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</si>
  <si>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</si>
  <si>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</si>
  <si>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</si>
  <si>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</si>
  <si>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</si>
  <si>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</si>
  <si>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</si>
  <si>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</si>
  <si>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</si>
  <si>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</si>
  <si>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</si>
  <si>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</si>
  <si>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</si>
  <si>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</si>
  <si>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</si>
  <si>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</si>
  <si>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</si>
  <si>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</si>
  <si>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</si>
  <si>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</si>
  <si>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</si>
  <si>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</si>
  <si>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</si>
  <si>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</si>
  <si>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</si>
  <si>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</si>
  <si>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</si>
  <si>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</si>
  <si>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</si>
  <si>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</si>
  <si>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</si>
  <si>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</si>
  <si>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</si>
  <si>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</si>
  <si>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</si>
  <si>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</si>
  <si>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</si>
  <si>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</si>
  <si>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</si>
  <si>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</si>
  <si>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</si>
  <si>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</si>
  <si>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</si>
  <si>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</si>
  <si>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</si>
  <si>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</si>
  <si>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</si>
  <si>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</si>
  <si>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</si>
  <si>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</si>
  <si>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</si>
  <si>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</si>
  <si>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</si>
  <si>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</si>
  <si>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</si>
  <si>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</si>
  <si>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</si>
  <si>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</si>
  <si>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</si>
  <si>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</si>
  <si>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</si>
  <si>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</si>
  <si>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</si>
  <si>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</si>
  <si>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</si>
  <si>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</si>
  <si>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</si>
  <si>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</si>
  <si>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</si>
  <si>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</si>
  <si>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</si>
  <si>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</si>
  <si>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</si>
  <si>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</si>
  <si>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</si>
  <si>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</si>
  <si>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</si>
  <si>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</si>
  <si>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</si>
  <si>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</si>
  <si>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</si>
  <si>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</si>
  <si>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</si>
  <si>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</si>
  <si>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</si>
  <si>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</si>
  <si>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</si>
  <si>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If correction for water content is NOT needed, enter 0</t>
  </si>
  <si>
    <t>Initial Standard dilution (mL):</t>
  </si>
  <si>
    <t>Desired Concetration (mg/mL):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</si>
  <si>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</si>
  <si>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</si>
  <si>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</si>
  <si>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</si>
  <si>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</si>
  <si>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</si>
  <si>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</si>
  <si>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</si>
  <si>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</si>
  <si>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</si>
  <si>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</si>
  <si>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</si>
  <si>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</si>
  <si>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</si>
  <si>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G2-3</t>
  </si>
  <si>
    <t>Glimepiride</t>
  </si>
  <si>
    <t>GLYPIN</t>
  </si>
  <si>
    <t>Glimepiride USP 3 mg</t>
  </si>
  <si>
    <t xml:space="preserve">Glimepiride   </t>
  </si>
  <si>
    <t>Glypride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</si>
  <si>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</si>
  <si>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</si>
  <si>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</si>
  <si>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Dr. Sarah Mwangi</t>
  </si>
  <si>
    <t>15th Jan 2016</t>
  </si>
  <si>
    <t>Serah Muteru</t>
  </si>
  <si>
    <t>2nd Feb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</si>
</sst>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\ &quot;%&quot;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45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3" fillId="2" borderId="0" xfId="0" applyFont="1" applyFill="1"/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0" fillId="3" borderId="0" xfId="0" applyFont="1" applyFill="1" applyProtection="1">
      <protection locked="0"/>
    </xf>
    <xf numFmtId="169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7" fillId="2" borderId="0" xfId="0" applyFont="1" applyFill="1"/>
    <xf numFmtId="0" fontId="11" fillId="2" borderId="0" xfId="0" applyFont="1" applyFill="1" applyAlignment="1">
      <alignment horizontal="center"/>
    </xf>
    <xf numFmtId="0" fontId="15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59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32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0" xfId="0" applyFont="1" applyFill="1"/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0" fontId="12" fillId="3" borderId="41" xfId="0" applyFont="1" applyFill="1" applyBorder="1" applyAlignment="1" applyProtection="1">
      <alignment horizontal="center"/>
      <protection locked="0"/>
    </xf>
    <xf numFmtId="1" fontId="10" fillId="2" borderId="0" xfId="0" applyNumberFormat="1" applyFont="1" applyFill="1" applyAlignment="1">
      <alignment horizontal="center"/>
    </xf>
    <xf numFmtId="0" fontId="10" fillId="2" borderId="29" xfId="0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2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1" fillId="2" borderId="60" xfId="0" applyFont="1" applyFill="1" applyBorder="1" applyAlignment="1">
      <alignment horizontal="center"/>
    </xf>
    <xf numFmtId="0" fontId="11" fillId="7" borderId="54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1" fillId="7" borderId="55" xfId="0" applyFont="1" applyFill="1" applyBorder="1" applyAlignment="1">
      <alignment horizontal="center" wrapText="1"/>
    </xf>
    <xf numFmtId="0" fontId="11" fillId="7" borderId="22" xfId="0" applyFont="1" applyFill="1" applyBorder="1" applyAlignment="1">
      <alignment horizontal="center" wrapText="1"/>
    </xf>
    <xf numFmtId="0" fontId="10" fillId="2" borderId="29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 wrapText="1"/>
    </xf>
    <xf numFmtId="2" fontId="10" fillId="2" borderId="26" xfId="0" applyNumberFormat="1" applyFont="1" applyFill="1" applyBorder="1" applyAlignment="1">
      <alignment horizontal="center"/>
    </xf>
    <xf numFmtId="2" fontId="10" fillId="2" borderId="4" xfId="0" applyNumberFormat="1" applyFont="1" applyFill="1" applyBorder="1" applyAlignment="1">
      <alignment horizontal="center"/>
    </xf>
    <xf numFmtId="2" fontId="10" fillId="2" borderId="28" xfId="0" applyNumberFormat="1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 wrapText="1"/>
    </xf>
    <xf numFmtId="2" fontId="10" fillId="2" borderId="31" xfId="0" applyNumberFormat="1" applyFont="1" applyFill="1" applyBorder="1" applyAlignment="1">
      <alignment horizontal="center"/>
    </xf>
    <xf numFmtId="2" fontId="10" fillId="2" borderId="3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3" fillId="3" borderId="61" xfId="0" applyFont="1" applyFill="1" applyBorder="1" applyAlignment="1">
      <alignment horizontal="center" wrapText="1"/>
    </xf>
    <xf numFmtId="2" fontId="10" fillId="2" borderId="38" xfId="0" applyNumberFormat="1" applyFont="1" applyFill="1" applyBorder="1" applyAlignment="1">
      <alignment horizontal="center"/>
    </xf>
    <xf numFmtId="2" fontId="10" fillId="2" borderId="61" xfId="0" applyNumberFormat="1" applyFont="1" applyFill="1" applyBorder="1" applyAlignment="1">
      <alignment horizontal="center"/>
    </xf>
    <xf numFmtId="2" fontId="10" fillId="2" borderId="44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4" xfId="0" applyFont="1" applyFill="1" applyBorder="1"/>
    <xf numFmtId="0" fontId="10" fillId="2" borderId="23" xfId="0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2" fontId="11" fillId="5" borderId="27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10" fontId="11" fillId="6" borderId="27" xfId="0" applyNumberFormat="1" applyFont="1" applyFill="1" applyBorder="1" applyAlignment="1">
      <alignment horizontal="center"/>
    </xf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2" fontId="11" fillId="5" borderId="62" xfId="0" applyNumberFormat="1" applyFont="1" applyFill="1" applyBorder="1" applyAlignment="1">
      <alignment horizontal="center"/>
    </xf>
    <xf numFmtId="2" fontId="12" fillId="5" borderId="62" xfId="0" applyNumberFormat="1" applyFont="1" applyFill="1" applyBorder="1" applyAlignment="1">
      <alignment horizontal="center"/>
    </xf>
    <xf numFmtId="0" fontId="10" fillId="2" borderId="0" xfId="0" applyFont="1" applyFill="1"/>
    <xf numFmtId="0" fontId="6" fillId="2" borderId="0" xfId="0" applyFont="1" applyFill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73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65" fontId="11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0" fillId="2" borderId="1" xfId="0" applyFont="1" applyFill="1" applyBorder="1" applyAlignment="1">
      <alignment horizontal="right"/>
    </xf>
    <xf numFmtId="2" fontId="10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1" fillId="6" borderId="1" xfId="0" applyNumberFormat="1" applyFont="1" applyFill="1" applyBorder="1" applyAlignment="1">
      <alignment horizontal="center"/>
    </xf>
    <xf numFmtId="0" fontId="11" fillId="2" borderId="0" xfId="0" applyFont="1" applyFill="1" applyAlignment="1" applyProtection="1">
      <alignment horizontal="center"/>
      <protection locked="0"/>
    </xf>
    <xf numFmtId="0" fontId="12" fillId="3" borderId="22" xfId="0" applyFont="1" applyFill="1" applyBorder="1" applyAlignment="1" applyProtection="1">
      <alignment horizontal="center"/>
      <protection locked="0"/>
    </xf>
    <xf numFmtId="0" fontId="12" fillId="3" borderId="24" xfId="0" applyFont="1" applyFill="1" applyBorder="1" applyAlignment="1" applyProtection="1">
      <alignment horizontal="center"/>
      <protection locked="0"/>
    </xf>
    <xf numFmtId="0" fontId="12" fillId="3" borderId="52" xfId="0" applyFont="1" applyFill="1" applyBorder="1" applyAlignment="1" applyProtection="1">
      <alignment horizontal="center"/>
      <protection locked="0"/>
    </xf>
    <xf numFmtId="0" fontId="11" fillId="2" borderId="10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1" fillId="2" borderId="1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2" fontId="12" fillId="3" borderId="16" xfId="0" applyNumberFormat="1" applyFont="1" applyFill="1" applyBorder="1" applyAlignment="1" applyProtection="1">
      <alignment horizontal="center"/>
      <protection locked="0"/>
    </xf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24" fillId="2" borderId="0" xfId="1" applyFill="1"/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  <xf numFmtId="0" fontId="32" fillId="2" borderId="7" xfId="0" applyFont="1" applyFill="1" applyBorder="1"/>
    <xf numFmtId="0" fontId="27" fillId="2" borderId="0" xfId="1" applyFont="1" applyFill="1" applyAlignment="1">
      <alignment horizontal="center"/>
    </xf>
    <xf numFmtId="0" fontId="25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/>
    </xf>
    <xf numFmtId="0" fontId="11" fillId="2" borderId="6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view="pageBreakPreview" zoomScale="60" zoomScaleNormal="100" workbookViewId="0">
      <selection activeCell="M29" sqref="M29"/>
    </sheetView>
  </sheetViews>
  <sheetFormatPr defaultRowHeight="13.5" x14ac:dyDescent="0.25"/>
  <cols>
    <col min="1" max="1" width="27.5703125" style="363" customWidth="1"/>
    <col min="2" max="2" width="20.42578125" style="363" customWidth="1"/>
    <col min="3" max="3" width="31.85546875" style="363" customWidth="1"/>
    <col min="4" max="4" width="25.85546875" style="363" customWidth="1"/>
    <col min="5" max="5" width="25.7109375" style="363" customWidth="1"/>
    <col min="6" max="6" width="23.140625" style="363" customWidth="1"/>
    <col min="7" max="7" width="28.42578125" style="363" customWidth="1"/>
    <col min="8" max="8" width="21.5703125" style="363" customWidth="1"/>
    <col min="9" max="9" width="9.140625" style="363" customWidth="1"/>
    <col min="10" max="16384" width="9.140625" style="399"/>
  </cols>
  <sheetData>
    <row r="1" spans="1:6" ht="15" customHeight="1" x14ac:dyDescent="0.3">
      <c r="A1" s="362"/>
      <c r="C1" s="364"/>
      <c r="F1" s="364"/>
    </row>
    <row r="2" spans="1:6" ht="18.75" customHeight="1" x14ac:dyDescent="0.3">
      <c r="A2" s="407" t="s">
        <v>0</v>
      </c>
      <c r="B2" s="407"/>
      <c r="C2" s="407"/>
      <c r="D2" s="407"/>
      <c r="E2" s="407"/>
    </row>
    <row r="3" spans="1:6" ht="16.5" customHeight="1" x14ac:dyDescent="0.3">
      <c r="A3" s="365" t="s">
        <v>1</v>
      </c>
      <c r="B3" s="366" t="s">
        <v>2</v>
      </c>
    </row>
    <row r="4" spans="1:6" ht="16.5" customHeight="1" x14ac:dyDescent="0.3">
      <c r="A4" s="367" t="s">
        <v>3</v>
      </c>
      <c r="B4" s="367" t="s">
        <v>144</v>
      </c>
      <c r="D4" s="368"/>
      <c r="E4" s="369"/>
    </row>
    <row r="5" spans="1:6" ht="16.5" customHeight="1" x14ac:dyDescent="0.3">
      <c r="A5" s="370" t="s">
        <v>4</v>
      </c>
      <c r="B5" s="367" t="s">
        <v>140</v>
      </c>
      <c r="C5" s="369"/>
      <c r="D5" s="369"/>
      <c r="E5" s="369"/>
    </row>
    <row r="6" spans="1:6" ht="16.5" customHeight="1" x14ac:dyDescent="0.3">
      <c r="A6" s="370" t="s">
        <v>6</v>
      </c>
      <c r="B6" s="371">
        <v>99.3</v>
      </c>
      <c r="C6" s="369"/>
      <c r="D6" s="369"/>
      <c r="E6" s="369"/>
    </row>
    <row r="7" spans="1:6" ht="16.5" customHeight="1" x14ac:dyDescent="0.3">
      <c r="A7" s="367" t="s">
        <v>8</v>
      </c>
      <c r="B7" s="371">
        <v>10.72</v>
      </c>
      <c r="C7" s="369"/>
      <c r="D7" s="369"/>
      <c r="E7" s="369"/>
    </row>
    <row r="8" spans="1:6" ht="16.5" customHeight="1" x14ac:dyDescent="0.3">
      <c r="A8" s="367" t="s">
        <v>10</v>
      </c>
      <c r="B8" s="372">
        <v>0.1</v>
      </c>
      <c r="C8" s="369"/>
      <c r="D8" s="369"/>
      <c r="E8" s="369"/>
    </row>
    <row r="9" spans="1:6" ht="15.75" customHeight="1" x14ac:dyDescent="0.25">
      <c r="A9" s="369"/>
      <c r="B9" s="369"/>
      <c r="C9" s="369"/>
      <c r="D9" s="369"/>
      <c r="E9" s="369"/>
    </row>
    <row r="10" spans="1:6" ht="16.5" customHeight="1" x14ac:dyDescent="0.3">
      <c r="A10" s="373" t="s">
        <v>13</v>
      </c>
      <c r="B10" s="374" t="s">
        <v>14</v>
      </c>
      <c r="C10" s="373" t="s">
        <v>15</v>
      </c>
      <c r="D10" s="373" t="s">
        <v>16</v>
      </c>
      <c r="E10" s="373" t="s">
        <v>17</v>
      </c>
    </row>
    <row r="11" spans="1:6" ht="16.5" customHeight="1" x14ac:dyDescent="0.3">
      <c r="A11" s="375">
        <v>1</v>
      </c>
      <c r="B11" s="376">
        <v>102985184</v>
      </c>
      <c r="C11" s="376">
        <v>3069.03</v>
      </c>
      <c r="D11" s="377">
        <v>0.84</v>
      </c>
      <c r="E11" s="378">
        <v>6.38</v>
      </c>
    </row>
    <row r="12" spans="1:6" ht="16.5" customHeight="1" x14ac:dyDescent="0.3">
      <c r="A12" s="375">
        <v>2</v>
      </c>
      <c r="B12" s="376">
        <v>103070022</v>
      </c>
      <c r="C12" s="376">
        <v>3082.59</v>
      </c>
      <c r="D12" s="377">
        <v>0.83</v>
      </c>
      <c r="E12" s="377">
        <v>6.38</v>
      </c>
    </row>
    <row r="13" spans="1:6" ht="16.5" customHeight="1" x14ac:dyDescent="0.3">
      <c r="A13" s="375">
        <v>3</v>
      </c>
      <c r="B13" s="376">
        <v>102951606</v>
      </c>
      <c r="C13" s="377">
        <v>3073.8</v>
      </c>
      <c r="D13" s="377">
        <v>0.83</v>
      </c>
      <c r="E13" s="377">
        <v>6.38</v>
      </c>
    </row>
    <row r="14" spans="1:6" ht="16.5" customHeight="1" x14ac:dyDescent="0.3">
      <c r="A14" s="375">
        <v>4</v>
      </c>
      <c r="B14" s="376">
        <v>102985028</v>
      </c>
      <c r="C14" s="376">
        <v>3082.53</v>
      </c>
      <c r="D14" s="377">
        <v>0.83</v>
      </c>
      <c r="E14" s="377">
        <v>6.38</v>
      </c>
    </row>
    <row r="15" spans="1:6" ht="16.5" customHeight="1" x14ac:dyDescent="0.3">
      <c r="A15" s="375">
        <v>5</v>
      </c>
      <c r="B15" s="376">
        <v>102948835</v>
      </c>
      <c r="C15" s="376">
        <v>3084.17</v>
      </c>
      <c r="D15" s="377">
        <v>0.82</v>
      </c>
      <c r="E15" s="377">
        <v>6.39</v>
      </c>
    </row>
    <row r="16" spans="1:6" ht="16.5" customHeight="1" x14ac:dyDescent="0.3">
      <c r="A16" s="375">
        <v>6</v>
      </c>
      <c r="B16" s="379">
        <v>103036699</v>
      </c>
      <c r="C16" s="379">
        <v>3076.02</v>
      </c>
      <c r="D16" s="380">
        <v>0.82</v>
      </c>
      <c r="E16" s="380">
        <v>6.39</v>
      </c>
    </row>
    <row r="17" spans="1:5" ht="16.5" customHeight="1" x14ac:dyDescent="0.3">
      <c r="A17" s="381" t="s">
        <v>18</v>
      </c>
      <c r="B17" s="382">
        <f>AVERAGE(B11:B16)</f>
        <v>102996229</v>
      </c>
      <c r="C17" s="383">
        <f>AVERAGE(C11:C16)</f>
        <v>3078.023333333334</v>
      </c>
      <c r="D17" s="384">
        <f>AVERAGE(D11:D16)</f>
        <v>0.82833333333333348</v>
      </c>
      <c r="E17" s="384">
        <f>AVERAGE(E11:E16)</f>
        <v>6.3833333333333329</v>
      </c>
    </row>
    <row r="18" spans="1:5" ht="16.5" customHeight="1" x14ac:dyDescent="0.3">
      <c r="A18" s="385" t="s">
        <v>19</v>
      </c>
      <c r="B18" s="386">
        <f>(STDEV(B11:B16)/B17)</f>
        <v>4.6700810655579569E-4</v>
      </c>
      <c r="C18" s="387"/>
      <c r="D18" s="387"/>
      <c r="E18" s="388"/>
    </row>
    <row r="19" spans="1:5" s="363" customFormat="1" ht="16.5" customHeight="1" x14ac:dyDescent="0.3">
      <c r="A19" s="389" t="s">
        <v>20</v>
      </c>
      <c r="B19" s="390">
        <f>COUNT(B11:B16)</f>
        <v>6</v>
      </c>
      <c r="C19" s="391"/>
      <c r="D19" s="392"/>
      <c r="E19" s="393"/>
    </row>
    <row r="20" spans="1:5" s="363" customFormat="1" ht="15.75" customHeight="1" x14ac:dyDescent="0.25">
      <c r="A20" s="369"/>
      <c r="B20" s="369"/>
      <c r="C20" s="369"/>
      <c r="D20" s="369"/>
      <c r="E20" s="369"/>
    </row>
    <row r="21" spans="1:5" s="363" customFormat="1" ht="16.5" customHeight="1" x14ac:dyDescent="0.3">
      <c r="A21" s="370" t="s">
        <v>21</v>
      </c>
      <c r="B21" s="394" t="s">
        <v>145</v>
      </c>
      <c r="C21" s="395"/>
      <c r="D21" s="395"/>
      <c r="E21" s="395"/>
    </row>
    <row r="22" spans="1:5" ht="16.5" customHeight="1" x14ac:dyDescent="0.3">
      <c r="A22" s="370"/>
      <c r="B22" s="394" t="s">
        <v>146</v>
      </c>
      <c r="C22" s="395"/>
      <c r="D22" s="395"/>
      <c r="E22" s="395"/>
    </row>
    <row r="23" spans="1:5" ht="16.5" customHeight="1" x14ac:dyDescent="0.3">
      <c r="A23" s="370"/>
      <c r="B23" s="394" t="s">
        <v>147</v>
      </c>
      <c r="C23" s="395"/>
      <c r="D23" s="395"/>
      <c r="E23" s="395"/>
    </row>
    <row r="24" spans="1:5" ht="15.75" customHeight="1" x14ac:dyDescent="0.25">
      <c r="A24" s="369"/>
      <c r="B24" s="369"/>
      <c r="C24" s="369"/>
      <c r="D24" s="369"/>
      <c r="E24" s="369"/>
    </row>
    <row r="25" spans="1:5" ht="16.5" customHeight="1" x14ac:dyDescent="0.3">
      <c r="A25" s="365" t="s">
        <v>1</v>
      </c>
      <c r="B25" s="366" t="s">
        <v>22</v>
      </c>
    </row>
    <row r="26" spans="1:5" ht="16.5" customHeight="1" x14ac:dyDescent="0.3">
      <c r="A26" s="370" t="s">
        <v>4</v>
      </c>
      <c r="B26" s="371" t="s">
        <v>140</v>
      </c>
      <c r="C26" s="369"/>
      <c r="D26" s="369"/>
      <c r="E26" s="369"/>
    </row>
    <row r="27" spans="1:5" ht="16.5" customHeight="1" x14ac:dyDescent="0.3">
      <c r="A27" s="370" t="s">
        <v>6</v>
      </c>
      <c r="B27" s="371">
        <v>99.3</v>
      </c>
      <c r="C27" s="369"/>
      <c r="D27" s="369"/>
      <c r="E27" s="369"/>
    </row>
    <row r="28" spans="1:5" ht="16.5" customHeight="1" x14ac:dyDescent="0.3">
      <c r="A28" s="367" t="s">
        <v>8</v>
      </c>
      <c r="B28" s="371">
        <v>12.58</v>
      </c>
      <c r="C28" s="369"/>
      <c r="D28" s="369"/>
      <c r="E28" s="369"/>
    </row>
    <row r="29" spans="1:5" ht="16.5" customHeight="1" x14ac:dyDescent="0.3">
      <c r="A29" s="367" t="s">
        <v>10</v>
      </c>
      <c r="B29" s="372">
        <v>1.25E-3</v>
      </c>
      <c r="C29" s="369"/>
      <c r="D29" s="369"/>
      <c r="E29" s="369"/>
    </row>
    <row r="30" spans="1:5" ht="15.75" customHeight="1" x14ac:dyDescent="0.3">
      <c r="A30" s="369"/>
      <c r="B30" s="372"/>
      <c r="C30" s="369"/>
      <c r="D30" s="369"/>
      <c r="E30" s="369"/>
    </row>
    <row r="31" spans="1:5" ht="16.5" customHeight="1" x14ac:dyDescent="0.3">
      <c r="A31" s="373" t="s">
        <v>13</v>
      </c>
      <c r="B31" s="374" t="s">
        <v>14</v>
      </c>
      <c r="C31" s="373" t="s">
        <v>15</v>
      </c>
      <c r="D31" s="373" t="s">
        <v>16</v>
      </c>
      <c r="E31" s="373" t="s">
        <v>17</v>
      </c>
    </row>
    <row r="32" spans="1:5" ht="16.5" customHeight="1" x14ac:dyDescent="0.3">
      <c r="A32" s="375">
        <v>1</v>
      </c>
      <c r="B32" s="376">
        <v>1209894</v>
      </c>
      <c r="C32" s="376">
        <v>5092.9799999999996</v>
      </c>
      <c r="D32" s="377">
        <v>1.03</v>
      </c>
      <c r="E32" s="378">
        <v>5.03</v>
      </c>
    </row>
    <row r="33" spans="1:7" ht="16.5" customHeight="1" x14ac:dyDescent="0.3">
      <c r="A33" s="375">
        <v>2</v>
      </c>
      <c r="B33" s="376">
        <v>1210314</v>
      </c>
      <c r="C33" s="376">
        <v>5060.47</v>
      </c>
      <c r="D33" s="377">
        <v>1.04</v>
      </c>
      <c r="E33" s="377">
        <v>5.03</v>
      </c>
    </row>
    <row r="34" spans="1:7" ht="16.5" customHeight="1" x14ac:dyDescent="0.3">
      <c r="A34" s="375">
        <v>3</v>
      </c>
      <c r="B34" s="376">
        <v>1211538</v>
      </c>
      <c r="C34" s="376">
        <v>5096.47</v>
      </c>
      <c r="D34" s="377">
        <v>1.04</v>
      </c>
      <c r="E34" s="377">
        <v>5.03</v>
      </c>
    </row>
    <row r="35" spans="1:7" ht="16.5" customHeight="1" x14ac:dyDescent="0.3">
      <c r="A35" s="375">
        <v>4</v>
      </c>
      <c r="B35" s="376">
        <v>1208140</v>
      </c>
      <c r="C35" s="376">
        <v>4795.97</v>
      </c>
      <c r="D35" s="377">
        <v>1.04</v>
      </c>
      <c r="E35" s="377">
        <v>5.04</v>
      </c>
    </row>
    <row r="36" spans="1:7" ht="16.5" customHeight="1" x14ac:dyDescent="0.3">
      <c r="A36" s="375">
        <v>5</v>
      </c>
      <c r="B36" s="376">
        <v>1206247</v>
      </c>
      <c r="C36" s="376">
        <v>4659.58</v>
      </c>
      <c r="D36" s="377">
        <v>1.08</v>
      </c>
      <c r="E36" s="377">
        <v>5.03</v>
      </c>
    </row>
    <row r="37" spans="1:7" ht="16.5" customHeight="1" x14ac:dyDescent="0.3">
      <c r="A37" s="375">
        <v>6</v>
      </c>
      <c r="B37" s="379">
        <v>1202796</v>
      </c>
      <c r="C37" s="379">
        <v>4751.3</v>
      </c>
      <c r="D37" s="380">
        <v>1.03</v>
      </c>
      <c r="E37" s="380">
        <v>5.04</v>
      </c>
    </row>
    <row r="38" spans="1:7" ht="16.5" customHeight="1" x14ac:dyDescent="0.3">
      <c r="A38" s="381" t="s">
        <v>18</v>
      </c>
      <c r="B38" s="382">
        <f>AVERAGE(B32:B37)</f>
        <v>1208154.8333333333</v>
      </c>
      <c r="C38" s="383">
        <f>AVERAGE(C32:C37)</f>
        <v>4909.461666666667</v>
      </c>
      <c r="D38" s="384">
        <f>AVERAGE(D32:D37)</f>
        <v>1.0433333333333334</v>
      </c>
      <c r="E38" s="384">
        <f>AVERAGE(E32:E37)</f>
        <v>5.0333333333333332</v>
      </c>
    </row>
    <row r="39" spans="1:7" ht="16.5" customHeight="1" x14ac:dyDescent="0.3">
      <c r="A39" s="385" t="s">
        <v>19</v>
      </c>
      <c r="B39" s="386">
        <f>(STDEV(B32:B37)/B38)</f>
        <v>2.6561489023992028E-3</v>
      </c>
      <c r="C39" s="387"/>
      <c r="D39" s="387"/>
      <c r="E39" s="388"/>
    </row>
    <row r="40" spans="1:7" s="363" customFormat="1" ht="16.5" customHeight="1" x14ac:dyDescent="0.3">
      <c r="A40" s="389" t="s">
        <v>20</v>
      </c>
      <c r="B40" s="390">
        <f>COUNT(B32:B37)</f>
        <v>6</v>
      </c>
      <c r="C40" s="391"/>
      <c r="D40" s="392"/>
      <c r="E40" s="393"/>
    </row>
    <row r="41" spans="1:7" s="363" customFormat="1" ht="15.75" customHeight="1" x14ac:dyDescent="0.25">
      <c r="A41" s="369"/>
      <c r="B41" s="369"/>
      <c r="C41" s="369"/>
      <c r="D41" s="369"/>
      <c r="E41" s="369"/>
    </row>
    <row r="42" spans="1:7" s="363" customFormat="1" ht="16.5" customHeight="1" x14ac:dyDescent="0.3">
      <c r="A42" s="370" t="s">
        <v>21</v>
      </c>
      <c r="B42" s="394" t="s">
        <v>145</v>
      </c>
      <c r="C42" s="395"/>
      <c r="D42" s="395"/>
      <c r="E42" s="395"/>
    </row>
    <row r="43" spans="1:7" ht="16.5" customHeight="1" x14ac:dyDescent="0.3">
      <c r="A43" s="370"/>
      <c r="B43" s="394" t="s">
        <v>146</v>
      </c>
      <c r="C43" s="395"/>
      <c r="D43" s="395"/>
      <c r="E43" s="395"/>
    </row>
    <row r="44" spans="1:7" ht="16.5" customHeight="1" x14ac:dyDescent="0.3">
      <c r="A44" s="370"/>
      <c r="B44" s="394" t="s">
        <v>147</v>
      </c>
      <c r="C44" s="395"/>
      <c r="D44" s="395"/>
      <c r="E44" s="395"/>
    </row>
    <row r="45" spans="1:7" ht="14.25" customHeight="1" thickBot="1" x14ac:dyDescent="0.3">
      <c r="A45" s="396"/>
      <c r="B45" s="397"/>
      <c r="D45" s="398"/>
      <c r="F45" s="399"/>
      <c r="G45" s="399"/>
    </row>
    <row r="46" spans="1:7" ht="15" customHeight="1" x14ac:dyDescent="0.3">
      <c r="B46" s="408" t="s">
        <v>23</v>
      </c>
      <c r="C46" s="408"/>
      <c r="E46" s="400" t="s">
        <v>24</v>
      </c>
      <c r="F46" s="401"/>
      <c r="G46" s="400" t="s">
        <v>25</v>
      </c>
    </row>
    <row r="47" spans="1:7" ht="15" customHeight="1" x14ac:dyDescent="0.3">
      <c r="A47" s="402" t="s">
        <v>26</v>
      </c>
      <c r="B47" s="403"/>
      <c r="C47" s="403" t="s">
        <v>148</v>
      </c>
      <c r="E47" s="403" t="s">
        <v>149</v>
      </c>
      <c r="G47" s="403"/>
    </row>
    <row r="48" spans="1:7" ht="15" customHeight="1" x14ac:dyDescent="0.3">
      <c r="A48" s="402" t="s">
        <v>27</v>
      </c>
      <c r="B48" s="404"/>
      <c r="C48" s="404"/>
      <c r="E48" s="404"/>
      <c r="G48" s="405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6:C46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12" t="s">
        <v>28</v>
      </c>
      <c r="B11" s="413"/>
      <c r="C11" s="413"/>
      <c r="D11" s="413"/>
      <c r="E11" s="413"/>
      <c r="F11" s="414"/>
      <c r="G11" s="43"/>
    </row>
    <row r="12" spans="1:7" ht="16.5" customHeight="1" x14ac:dyDescent="0.3">
      <c r="A12" s="411" t="s">
        <v>29</v>
      </c>
      <c r="B12" s="411"/>
      <c r="C12" s="411"/>
      <c r="D12" s="411"/>
      <c r="E12" s="411"/>
      <c r="F12" s="411"/>
      <c r="G12" s="42"/>
    </row>
    <row r="14" spans="1:7" ht="16.5" customHeight="1" x14ac:dyDescent="0.3">
      <c r="A14" s="416" t="s">
        <v>30</v>
      </c>
      <c r="B14" s="416"/>
      <c r="C14" s="12" t="s">
        <v>5</v>
      </c>
    </row>
    <row r="15" spans="1:7" ht="16.5" customHeight="1" x14ac:dyDescent="0.3">
      <c r="A15" s="416" t="s">
        <v>31</v>
      </c>
      <c r="B15" s="416"/>
      <c r="C15" s="12" t="s">
        <v>7</v>
      </c>
    </row>
    <row r="16" spans="1:7" ht="16.5" customHeight="1" x14ac:dyDescent="0.3">
      <c r="A16" s="416" t="s">
        <v>32</v>
      </c>
      <c r="B16" s="416"/>
      <c r="C16" s="12" t="s">
        <v>9</v>
      </c>
    </row>
    <row r="17" spans="1:5" ht="16.5" customHeight="1" x14ac:dyDescent="0.3">
      <c r="A17" s="416" t="s">
        <v>33</v>
      </c>
      <c r="B17" s="416"/>
      <c r="C17" s="12" t="s">
        <v>11</v>
      </c>
    </row>
    <row r="18" spans="1:5" ht="16.5" customHeight="1" x14ac:dyDescent="0.3">
      <c r="A18" s="416" t="s">
        <v>34</v>
      </c>
      <c r="B18" s="416"/>
      <c r="C18" s="49" t="s">
        <v>12</v>
      </c>
    </row>
    <row r="19" spans="1:5" ht="16.5" customHeight="1" x14ac:dyDescent="0.3">
      <c r="A19" s="416" t="s">
        <v>35</v>
      </c>
      <c r="B19" s="416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11" t="s">
        <v>1</v>
      </c>
      <c r="B21" s="411"/>
      <c r="C21" s="11" t="s">
        <v>36</v>
      </c>
      <c r="D21" s="18"/>
    </row>
    <row r="22" spans="1:5" ht="15.75" customHeight="1" x14ac:dyDescent="0.3">
      <c r="A22" s="415"/>
      <c r="B22" s="415"/>
      <c r="C22" s="9"/>
      <c r="D22" s="415"/>
      <c r="E22" s="415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169.01</v>
      </c>
      <c r="D24" s="39">
        <f t="shared" ref="D24:D43" si="0">(C24-$C$46)/$C$46</f>
        <v>-6.0632435706682855E-3</v>
      </c>
      <c r="E24" s="5"/>
    </row>
    <row r="25" spans="1:5" ht="15.75" customHeight="1" x14ac:dyDescent="0.3">
      <c r="C25" s="47">
        <v>172.79</v>
      </c>
      <c r="D25" s="40">
        <f t="shared" si="0"/>
        <v>1.6166689210249264E-2</v>
      </c>
      <c r="E25" s="5"/>
    </row>
    <row r="26" spans="1:5" ht="15.75" customHeight="1" x14ac:dyDescent="0.3">
      <c r="C26" s="47">
        <v>173.05</v>
      </c>
      <c r="D26" s="40">
        <f t="shared" si="0"/>
        <v>1.7695732205762225E-2</v>
      </c>
      <c r="E26" s="5"/>
    </row>
    <row r="27" spans="1:5" ht="15.75" customHeight="1" x14ac:dyDescent="0.3">
      <c r="C27" s="47">
        <v>171.89</v>
      </c>
      <c r="D27" s="40">
        <f t="shared" si="0"/>
        <v>1.0873848071935531E-2</v>
      </c>
      <c r="E27" s="5"/>
    </row>
    <row r="28" spans="1:5" ht="15.75" customHeight="1" x14ac:dyDescent="0.3">
      <c r="C28" s="47">
        <v>169.9</v>
      </c>
      <c r="D28" s="40">
        <f t="shared" si="0"/>
        <v>-8.2921177833576102E-4</v>
      </c>
      <c r="E28" s="5"/>
    </row>
    <row r="29" spans="1:5" ht="15.75" customHeight="1" x14ac:dyDescent="0.3">
      <c r="C29" s="47">
        <v>171.27</v>
      </c>
      <c r="D29" s="40">
        <f t="shared" si="0"/>
        <v>7.2276686210973442E-3</v>
      </c>
      <c r="E29" s="5"/>
    </row>
    <row r="30" spans="1:5" ht="15.75" customHeight="1" x14ac:dyDescent="0.3">
      <c r="C30" s="47">
        <v>170.08</v>
      </c>
      <c r="D30" s="40">
        <f t="shared" si="0"/>
        <v>2.2935644932701931E-4</v>
      </c>
      <c r="E30" s="5"/>
    </row>
    <row r="31" spans="1:5" ht="15.75" customHeight="1" x14ac:dyDescent="0.3">
      <c r="C31" s="47">
        <v>167.17</v>
      </c>
      <c r="D31" s="40">
        <f t="shared" si="0"/>
        <v>-1.6884163231220762E-2</v>
      </c>
      <c r="E31" s="5"/>
    </row>
    <row r="32" spans="1:5" ht="15.75" customHeight="1" x14ac:dyDescent="0.3">
      <c r="C32" s="47">
        <v>166.65</v>
      </c>
      <c r="D32" s="40">
        <f t="shared" si="0"/>
        <v>-1.9942249222246348E-2</v>
      </c>
      <c r="E32" s="5"/>
    </row>
    <row r="33" spans="1:7" ht="15.75" customHeight="1" x14ac:dyDescent="0.3">
      <c r="C33" s="47">
        <v>174.15</v>
      </c>
      <c r="D33" s="40">
        <f t="shared" si="0"/>
        <v>2.4164760263701159E-2</v>
      </c>
      <c r="E33" s="5"/>
    </row>
    <row r="34" spans="1:7" ht="15.75" customHeight="1" x14ac:dyDescent="0.3">
      <c r="C34" s="47">
        <v>166.88</v>
      </c>
      <c r="D34" s="40">
        <f t="shared" si="0"/>
        <v>-1.858963426467735E-2</v>
      </c>
      <c r="E34" s="5"/>
    </row>
    <row r="35" spans="1:7" ht="15.75" customHeight="1" x14ac:dyDescent="0.3">
      <c r="C35" s="47">
        <v>170.08</v>
      </c>
      <c r="D35" s="40">
        <f t="shared" si="0"/>
        <v>2.2935644932701931E-4</v>
      </c>
      <c r="E35" s="5"/>
    </row>
    <row r="36" spans="1:7" ht="15.75" customHeight="1" x14ac:dyDescent="0.3">
      <c r="C36" s="47">
        <v>171.03</v>
      </c>
      <c r="D36" s="40">
        <f t="shared" si="0"/>
        <v>5.8162443175469704E-3</v>
      </c>
      <c r="E36" s="5"/>
    </row>
    <row r="37" spans="1:7" ht="15.75" customHeight="1" x14ac:dyDescent="0.3">
      <c r="C37" s="47">
        <v>170.63</v>
      </c>
      <c r="D37" s="40">
        <f t="shared" si="0"/>
        <v>3.4638704782964029E-3</v>
      </c>
      <c r="E37" s="5"/>
    </row>
    <row r="38" spans="1:7" ht="15.75" customHeight="1" x14ac:dyDescent="0.3">
      <c r="C38" s="47">
        <v>164.94</v>
      </c>
      <c r="D38" s="40">
        <f t="shared" si="0"/>
        <v>-2.9998647385042425E-2</v>
      </c>
      <c r="E38" s="5"/>
    </row>
    <row r="39" spans="1:7" ht="15.75" customHeight="1" x14ac:dyDescent="0.3">
      <c r="C39" s="47">
        <v>173.5</v>
      </c>
      <c r="D39" s="40">
        <f t="shared" si="0"/>
        <v>2.034215277491901E-2</v>
      </c>
      <c r="E39" s="5"/>
    </row>
    <row r="40" spans="1:7" ht="15.75" customHeight="1" x14ac:dyDescent="0.3">
      <c r="C40" s="47">
        <v>166.27</v>
      </c>
      <c r="D40" s="40">
        <f t="shared" si="0"/>
        <v>-2.2177004369534327E-2</v>
      </c>
      <c r="E40" s="5"/>
    </row>
    <row r="41" spans="1:7" ht="15.75" customHeight="1" x14ac:dyDescent="0.3">
      <c r="C41" s="47">
        <v>173.04</v>
      </c>
      <c r="D41" s="40">
        <f t="shared" si="0"/>
        <v>1.763692285978085E-2</v>
      </c>
      <c r="E41" s="5"/>
    </row>
    <row r="42" spans="1:7" ht="15.75" customHeight="1" x14ac:dyDescent="0.3">
      <c r="C42" s="47">
        <v>167.35</v>
      </c>
      <c r="D42" s="40">
        <f t="shared" si="0"/>
        <v>-1.5825595003557982E-2</v>
      </c>
      <c r="E42" s="5"/>
    </row>
    <row r="43" spans="1:7" ht="16.5" customHeight="1" x14ac:dyDescent="0.3">
      <c r="C43" s="48">
        <v>171.14</v>
      </c>
      <c r="D43" s="41">
        <f t="shared" si="0"/>
        <v>6.4631471233407801E-3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3400.82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170.041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409">
        <f>C46</f>
        <v>170.041</v>
      </c>
      <c r="C49" s="45">
        <f>-IF(C46&lt;=80,10%,IF(C46&lt;250,7.5%,5%))</f>
        <v>-7.4999999999999997E-2</v>
      </c>
      <c r="D49" s="33">
        <f>IF(C46&lt;=80,C46*0.9,IF(C46&lt;250,C46*0.925,C46*0.95))</f>
        <v>157.287925</v>
      </c>
    </row>
    <row r="50" spans="1:6" ht="17.25" customHeight="1" x14ac:dyDescent="0.3">
      <c r="B50" s="410"/>
      <c r="C50" s="46">
        <f>IF(C46&lt;=80, 10%, IF(C46&lt;250, 7.5%, 5%))</f>
        <v>7.4999999999999997E-2</v>
      </c>
      <c r="D50" s="33">
        <f>IF(C46&lt;=80, C46*1.1, IF(C46&lt;250, C46*1.075, C46*1.05))</f>
        <v>182.79407499999999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1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0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8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7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6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5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4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3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2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1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0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9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8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7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6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5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4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3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2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1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15" zoomScale="60" zoomScaleNormal="60" zoomScalePageLayoutView="55" workbookViewId="0">
      <selection activeCell="C123" sqref="C1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45" t="s">
        <v>42</v>
      </c>
      <c r="B1" s="445"/>
      <c r="C1" s="445"/>
      <c r="D1" s="445"/>
      <c r="E1" s="445"/>
      <c r="F1" s="445"/>
      <c r="G1" s="445"/>
      <c r="H1" s="445"/>
      <c r="I1" s="445"/>
    </row>
    <row r="2" spans="1:9" ht="18.75" customHeight="1" x14ac:dyDescent="0.25">
      <c r="A2" s="445"/>
      <c r="B2" s="445"/>
      <c r="C2" s="445"/>
      <c r="D2" s="445"/>
      <c r="E2" s="445"/>
      <c r="F2" s="445"/>
      <c r="G2" s="445"/>
      <c r="H2" s="445"/>
      <c r="I2" s="445"/>
    </row>
    <row r="3" spans="1:9" ht="18.75" customHeight="1" x14ac:dyDescent="0.25">
      <c r="A3" s="445"/>
      <c r="B3" s="445"/>
      <c r="C3" s="445"/>
      <c r="D3" s="445"/>
      <c r="E3" s="445"/>
      <c r="F3" s="445"/>
      <c r="G3" s="445"/>
      <c r="H3" s="445"/>
      <c r="I3" s="445"/>
    </row>
    <row r="4" spans="1:9" ht="18.75" customHeight="1" x14ac:dyDescent="0.25">
      <c r="A4" s="445"/>
      <c r="B4" s="445"/>
      <c r="C4" s="445"/>
      <c r="D4" s="445"/>
      <c r="E4" s="445"/>
      <c r="F4" s="445"/>
      <c r="G4" s="445"/>
      <c r="H4" s="445"/>
      <c r="I4" s="445"/>
    </row>
    <row r="5" spans="1:9" ht="18.75" customHeight="1" x14ac:dyDescent="0.25">
      <c r="A5" s="445"/>
      <c r="B5" s="445"/>
      <c r="C5" s="445"/>
      <c r="D5" s="445"/>
      <c r="E5" s="445"/>
      <c r="F5" s="445"/>
      <c r="G5" s="445"/>
      <c r="H5" s="445"/>
      <c r="I5" s="445"/>
    </row>
    <row r="6" spans="1:9" ht="18.75" customHeight="1" x14ac:dyDescent="0.25">
      <c r="A6" s="445"/>
      <c r="B6" s="445"/>
      <c r="C6" s="445"/>
      <c r="D6" s="445"/>
      <c r="E6" s="445"/>
      <c r="F6" s="445"/>
      <c r="G6" s="445"/>
      <c r="H6" s="445"/>
      <c r="I6" s="445"/>
    </row>
    <row r="7" spans="1:9" ht="18.75" customHeight="1" x14ac:dyDescent="0.25">
      <c r="A7" s="445"/>
      <c r="B7" s="445"/>
      <c r="C7" s="445"/>
      <c r="D7" s="445"/>
      <c r="E7" s="445"/>
      <c r="F7" s="445"/>
      <c r="G7" s="445"/>
      <c r="H7" s="445"/>
      <c r="I7" s="445"/>
    </row>
    <row r="8" spans="1:9" x14ac:dyDescent="0.25">
      <c r="A8" s="446" t="s">
        <v>43</v>
      </c>
      <c r="B8" s="446"/>
      <c r="C8" s="446"/>
      <c r="D8" s="446"/>
      <c r="E8" s="446"/>
      <c r="F8" s="446"/>
      <c r="G8" s="446"/>
      <c r="H8" s="446"/>
      <c r="I8" s="446"/>
    </row>
    <row r="9" spans="1:9" x14ac:dyDescent="0.25">
      <c r="A9" s="446"/>
      <c r="B9" s="446"/>
      <c r="C9" s="446"/>
      <c r="D9" s="446"/>
      <c r="E9" s="446"/>
      <c r="F9" s="446"/>
      <c r="G9" s="446"/>
      <c r="H9" s="446"/>
      <c r="I9" s="446"/>
    </row>
    <row r="10" spans="1:9" x14ac:dyDescent="0.25">
      <c r="A10" s="446"/>
      <c r="B10" s="446"/>
      <c r="C10" s="446"/>
      <c r="D10" s="446"/>
      <c r="E10" s="446"/>
      <c r="F10" s="446"/>
      <c r="G10" s="446"/>
      <c r="H10" s="446"/>
      <c r="I10" s="446"/>
    </row>
    <row r="11" spans="1:9" x14ac:dyDescent="0.25">
      <c r="A11" s="446"/>
      <c r="B11" s="446"/>
      <c r="C11" s="446"/>
      <c r="D11" s="446"/>
      <c r="E11" s="446"/>
      <c r="F11" s="446"/>
      <c r="G11" s="446"/>
      <c r="H11" s="446"/>
      <c r="I11" s="446"/>
    </row>
    <row r="12" spans="1:9" x14ac:dyDescent="0.25">
      <c r="A12" s="446"/>
      <c r="B12" s="446"/>
      <c r="C12" s="446"/>
      <c r="D12" s="446"/>
      <c r="E12" s="446"/>
      <c r="F12" s="446"/>
      <c r="G12" s="446"/>
      <c r="H12" s="446"/>
      <c r="I12" s="446"/>
    </row>
    <row r="13" spans="1:9" x14ac:dyDescent="0.25">
      <c r="A13" s="446"/>
      <c r="B13" s="446"/>
      <c r="C13" s="446"/>
      <c r="D13" s="446"/>
      <c r="E13" s="446"/>
      <c r="F13" s="446"/>
      <c r="G13" s="446"/>
      <c r="H13" s="446"/>
      <c r="I13" s="446"/>
    </row>
    <row r="14" spans="1:9" x14ac:dyDescent="0.25">
      <c r="A14" s="446"/>
      <c r="B14" s="446"/>
      <c r="C14" s="446"/>
      <c r="D14" s="446"/>
      <c r="E14" s="446"/>
      <c r="F14" s="446"/>
      <c r="G14" s="446"/>
      <c r="H14" s="446"/>
      <c r="I14" s="446"/>
    </row>
    <row r="15" spans="1:9" ht="19.5" customHeight="1" x14ac:dyDescent="0.3">
      <c r="A15" s="50"/>
    </row>
    <row r="16" spans="1:9" ht="19.5" customHeight="1" x14ac:dyDescent="0.3">
      <c r="A16" s="418" t="s">
        <v>28</v>
      </c>
      <c r="B16" s="419"/>
      <c r="C16" s="419"/>
      <c r="D16" s="419"/>
      <c r="E16" s="419"/>
      <c r="F16" s="419"/>
      <c r="G16" s="419"/>
      <c r="H16" s="420"/>
    </row>
    <row r="17" spans="1:14" ht="20.25" customHeight="1" x14ac:dyDescent="0.25">
      <c r="A17" s="421" t="s">
        <v>44</v>
      </c>
      <c r="B17" s="421"/>
      <c r="C17" s="421"/>
      <c r="D17" s="421"/>
      <c r="E17" s="421"/>
      <c r="F17" s="421"/>
      <c r="G17" s="421"/>
      <c r="H17" s="421"/>
    </row>
    <row r="18" spans="1:14" ht="26.25" customHeight="1" x14ac:dyDescent="0.4">
      <c r="A18" s="52" t="s">
        <v>30</v>
      </c>
      <c r="B18" s="417"/>
      <c r="C18" s="417"/>
      <c r="D18" s="217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/>
      <c r="C19" s="230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422"/>
      <c r="C20" s="422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422"/>
      <c r="C21" s="422"/>
      <c r="D21" s="422"/>
      <c r="E21" s="422"/>
      <c r="F21" s="422"/>
      <c r="G21" s="422"/>
      <c r="H21" s="422"/>
      <c r="I21" s="56"/>
    </row>
    <row r="22" spans="1:14" ht="26.25" customHeight="1" x14ac:dyDescent="0.4">
      <c r="A22" s="52" t="s">
        <v>34</v>
      </c>
      <c r="B22" s="57"/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17" t="s">
        <v>140</v>
      </c>
      <c r="C26" s="417"/>
    </row>
    <row r="27" spans="1:14" ht="26.25" customHeight="1" x14ac:dyDescent="0.4">
      <c r="A27" s="61" t="s">
        <v>45</v>
      </c>
      <c r="B27" s="423" t="s">
        <v>139</v>
      </c>
      <c r="C27" s="423"/>
    </row>
    <row r="28" spans="1:14" ht="27" customHeight="1" x14ac:dyDescent="0.4">
      <c r="A28" s="61" t="s">
        <v>6</v>
      </c>
      <c r="B28" s="62">
        <v>99.3</v>
      </c>
    </row>
    <row r="29" spans="1:14" s="3" customFormat="1" ht="27" customHeight="1" x14ac:dyDescent="0.4">
      <c r="A29" s="61" t="s">
        <v>46</v>
      </c>
      <c r="B29" s="63">
        <v>0</v>
      </c>
      <c r="C29" s="424" t="s">
        <v>47</v>
      </c>
      <c r="D29" s="425"/>
      <c r="E29" s="425"/>
      <c r="F29" s="425"/>
      <c r="G29" s="426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427" t="s">
        <v>50</v>
      </c>
      <c r="D31" s="428"/>
      <c r="E31" s="428"/>
      <c r="F31" s="428"/>
      <c r="G31" s="428"/>
      <c r="H31" s="429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427" t="s">
        <v>52</v>
      </c>
      <c r="D32" s="428"/>
      <c r="E32" s="428"/>
      <c r="F32" s="428"/>
      <c r="G32" s="428"/>
      <c r="H32" s="429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100</v>
      </c>
      <c r="C36" s="51"/>
      <c r="D36" s="430" t="s">
        <v>56</v>
      </c>
      <c r="E36" s="431"/>
      <c r="F36" s="430" t="s">
        <v>57</v>
      </c>
      <c r="G36" s="432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1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</v>
      </c>
      <c r="C38" s="83">
        <v>1</v>
      </c>
      <c r="D38" s="261">
        <v>108407904</v>
      </c>
      <c r="E38" s="84">
        <f>IF(ISBLANK(D38),"-",$D$48/$D$45*D38)</f>
        <v>101839653.69526987</v>
      </c>
      <c r="F38" s="261">
        <v>119726946</v>
      </c>
      <c r="G38" s="85">
        <f>IF(ISBLANK(F38),"-",$D$48/$F$45*F38)</f>
        <v>100475785.49848944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7">
        <v>2</v>
      </c>
      <c r="D39" s="265">
        <v>108246591</v>
      </c>
      <c r="E39" s="89">
        <f>IF(ISBLANK(D39),"-",$D$48/$D$45*D39)</f>
        <v>101688114.37525363</v>
      </c>
      <c r="F39" s="265">
        <v>119661211</v>
      </c>
      <c r="G39" s="90">
        <f>IF(ISBLANK(F39),"-",$D$48/$F$45*F39)</f>
        <v>100420620.17455523</v>
      </c>
      <c r="I39" s="434">
        <f>ABS((F43/D43*D42)-F42)/D42</f>
        <v>1.4780233921133536E-2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7">
        <v>3</v>
      </c>
      <c r="D40" s="265">
        <v>108230395</v>
      </c>
      <c r="E40" s="89">
        <f>IF(ISBLANK(D40),"-",$D$48/$D$45*D40)</f>
        <v>101672899.66331483</v>
      </c>
      <c r="F40" s="265">
        <v>119487084</v>
      </c>
      <c r="G40" s="90">
        <f>IF(ISBLANK(F40),"-",$D$48/$F$45*F40)</f>
        <v>100274491.44008057</v>
      </c>
      <c r="I40" s="434"/>
      <c r="L40" s="69"/>
      <c r="M40" s="69"/>
      <c r="N40" s="91"/>
    </row>
    <row r="41" spans="1:14" ht="27" customHeight="1" x14ac:dyDescent="0.4">
      <c r="A41" s="76" t="s">
        <v>66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91"/>
    </row>
    <row r="42" spans="1:14" ht="27" customHeight="1" x14ac:dyDescent="0.4">
      <c r="A42" s="76" t="s">
        <v>67</v>
      </c>
      <c r="B42" s="77">
        <v>1</v>
      </c>
      <c r="C42" s="97" t="s">
        <v>68</v>
      </c>
      <c r="D42" s="98">
        <f>AVERAGE(D38:D41)</f>
        <v>108294963.33333333</v>
      </c>
      <c r="E42" s="99">
        <f>AVERAGE(E38:E41)</f>
        <v>101733555.91127944</v>
      </c>
      <c r="F42" s="98">
        <f>AVERAGE(F38:F41)</f>
        <v>119625080.33333333</v>
      </c>
      <c r="G42" s="100">
        <f>AVERAGE(G38:G41)</f>
        <v>100390299.03770842</v>
      </c>
      <c r="H42" s="101"/>
    </row>
    <row r="43" spans="1:14" ht="26.25" customHeight="1" x14ac:dyDescent="0.4">
      <c r="A43" s="76" t="s">
        <v>69</v>
      </c>
      <c r="B43" s="77">
        <v>1</v>
      </c>
      <c r="C43" s="102" t="s">
        <v>70</v>
      </c>
      <c r="D43" s="277">
        <v>10.72</v>
      </c>
      <c r="E43" s="91"/>
      <c r="F43" s="361">
        <v>12</v>
      </c>
      <c r="H43" s="101"/>
    </row>
    <row r="44" spans="1:14" ht="26.25" customHeight="1" x14ac:dyDescent="0.4">
      <c r="A44" s="76" t="s">
        <v>71</v>
      </c>
      <c r="B44" s="77">
        <v>1</v>
      </c>
      <c r="C44" s="104" t="s">
        <v>72</v>
      </c>
      <c r="D44" s="105">
        <f>D43*$B$34</f>
        <v>10.72</v>
      </c>
      <c r="E44" s="106"/>
      <c r="F44" s="105">
        <f>F43*$B$34</f>
        <v>12</v>
      </c>
      <c r="H44" s="101"/>
    </row>
    <row r="45" spans="1:14" ht="19.5" customHeight="1" x14ac:dyDescent="0.3">
      <c r="A45" s="76" t="s">
        <v>73</v>
      </c>
      <c r="B45" s="107">
        <f>(B44/B43)*(B42/B41)*(B40/B39)*(B38/B37)*B36</f>
        <v>100</v>
      </c>
      <c r="C45" s="104" t="s">
        <v>74</v>
      </c>
      <c r="D45" s="108">
        <f>D44*$B$30/100</f>
        <v>10.644960000000001</v>
      </c>
      <c r="E45" s="109"/>
      <c r="F45" s="108">
        <f>F44*$B$30/100</f>
        <v>11.915999999999999</v>
      </c>
      <c r="H45" s="101"/>
    </row>
    <row r="46" spans="1:14" ht="19.5" customHeight="1" x14ac:dyDescent="0.3">
      <c r="A46" s="435" t="s">
        <v>75</v>
      </c>
      <c r="B46" s="436"/>
      <c r="C46" s="104" t="s">
        <v>76</v>
      </c>
      <c r="D46" s="110">
        <f>D45/$B$45</f>
        <v>0.10644960000000001</v>
      </c>
      <c r="E46" s="111"/>
      <c r="F46" s="112">
        <f>F45/$B$45</f>
        <v>0.11915999999999999</v>
      </c>
      <c r="H46" s="101"/>
    </row>
    <row r="47" spans="1:14" ht="27" customHeight="1" x14ac:dyDescent="0.4">
      <c r="A47" s="437"/>
      <c r="B47" s="438"/>
      <c r="C47" s="113" t="s">
        <v>77</v>
      </c>
      <c r="D47" s="114">
        <v>0.1</v>
      </c>
      <c r="E47" s="115"/>
      <c r="F47" s="111"/>
      <c r="H47" s="101"/>
    </row>
    <row r="48" spans="1:14" ht="18.75" x14ac:dyDescent="0.3">
      <c r="C48" s="116" t="s">
        <v>78</v>
      </c>
      <c r="D48" s="108">
        <f>D47*$B$45</f>
        <v>10</v>
      </c>
      <c r="F48" s="117"/>
      <c r="H48" s="101"/>
    </row>
    <row r="49" spans="1:12" ht="19.5" customHeight="1" x14ac:dyDescent="0.3">
      <c r="C49" s="118" t="s">
        <v>79</v>
      </c>
      <c r="D49" s="119">
        <f>D48/B34</f>
        <v>10</v>
      </c>
      <c r="F49" s="117"/>
      <c r="H49" s="101"/>
    </row>
    <row r="50" spans="1:12" ht="18.75" x14ac:dyDescent="0.3">
      <c r="C50" s="74" t="s">
        <v>80</v>
      </c>
      <c r="D50" s="120">
        <f>AVERAGE(E38:E41,G38:G41)</f>
        <v>101061927.47449392</v>
      </c>
      <c r="F50" s="121"/>
      <c r="H50" s="101"/>
    </row>
    <row r="51" spans="1:12" ht="18.75" x14ac:dyDescent="0.3">
      <c r="C51" s="76" t="s">
        <v>81</v>
      </c>
      <c r="D51" s="122">
        <f>STDEV(E38:E41,G38:G41)/D50</f>
        <v>7.3317949558670331E-3</v>
      </c>
      <c r="F51" s="121"/>
      <c r="H51" s="101"/>
    </row>
    <row r="52" spans="1:12" ht="19.5" customHeight="1" x14ac:dyDescent="0.3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82</v>
      </c>
    </row>
    <row r="55" spans="1:12" ht="18.75" x14ac:dyDescent="0.3">
      <c r="A55" s="51" t="s">
        <v>83</v>
      </c>
      <c r="B55" s="127">
        <f>B21</f>
        <v>0</v>
      </c>
    </row>
    <row r="56" spans="1:12" ht="26.25" customHeight="1" x14ac:dyDescent="0.4">
      <c r="A56" s="128" t="s">
        <v>84</v>
      </c>
      <c r="B56" s="129">
        <v>3</v>
      </c>
      <c r="C56" s="51">
        <f>B20</f>
        <v>0</v>
      </c>
      <c r="H56" s="130"/>
    </row>
    <row r="57" spans="1:12" ht="18.75" x14ac:dyDescent="0.3">
      <c r="A57" s="127" t="s">
        <v>85</v>
      </c>
      <c r="B57" s="218">
        <f>Uniformity!C46</f>
        <v>170.041</v>
      </c>
      <c r="H57" s="130"/>
    </row>
    <row r="58" spans="1:12" ht="19.5" customHeight="1" x14ac:dyDescent="0.3">
      <c r="H58" s="130"/>
    </row>
    <row r="59" spans="1:12" s="3" customFormat="1" ht="27" customHeight="1" x14ac:dyDescent="0.4">
      <c r="A59" s="74" t="s">
        <v>86</v>
      </c>
      <c r="B59" s="75">
        <v>25</v>
      </c>
      <c r="C59" s="51"/>
      <c r="D59" s="131" t="s">
        <v>87</v>
      </c>
      <c r="E59" s="132" t="s">
        <v>59</v>
      </c>
      <c r="F59" s="132" t="s">
        <v>60</v>
      </c>
      <c r="G59" s="132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1</v>
      </c>
      <c r="C60" s="439" t="s">
        <v>91</v>
      </c>
      <c r="D60" s="442">
        <v>170.92</v>
      </c>
      <c r="E60" s="133">
        <v>1</v>
      </c>
      <c r="F60" s="134"/>
      <c r="G60" s="219" t="str">
        <f>IF(ISBLANK(F60),"-",(F60/$D$50*$D$47*$B$68)*($B$57/$D$60))</f>
        <v>-</v>
      </c>
      <c r="H60" s="135" t="str">
        <f t="shared" ref="H60:H71" si="0">IF(ISBLANK(F60),"-",G60/$B$56)</f>
        <v>-</v>
      </c>
      <c r="L60" s="64"/>
    </row>
    <row r="61" spans="1:12" s="3" customFormat="1" ht="26.25" customHeight="1" x14ac:dyDescent="0.4">
      <c r="A61" s="76" t="s">
        <v>92</v>
      </c>
      <c r="B61" s="77">
        <v>1</v>
      </c>
      <c r="C61" s="440"/>
      <c r="D61" s="443"/>
      <c r="E61" s="136">
        <v>2</v>
      </c>
      <c r="F61" s="88"/>
      <c r="G61" s="220" t="str">
        <f>IF(ISBLANK(F61),"-",(F61/$D$50*$D$47*$B$68)*($B$57/$D$60))</f>
        <v>-</v>
      </c>
      <c r="H61" s="137" t="str">
        <f t="shared" si="0"/>
        <v>-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440"/>
      <c r="D62" s="443"/>
      <c r="E62" s="136">
        <v>3</v>
      </c>
      <c r="F62" s="138"/>
      <c r="G62" s="220" t="str">
        <f>IF(ISBLANK(F62),"-",(F62/$D$50*$D$47*$B$68)*($B$57/$D$60))</f>
        <v>-</v>
      </c>
      <c r="H62" s="137" t="str">
        <f t="shared" si="0"/>
        <v>-</v>
      </c>
      <c r="L62" s="64"/>
    </row>
    <row r="63" spans="1:12" ht="27" customHeight="1" x14ac:dyDescent="0.4">
      <c r="A63" s="76" t="s">
        <v>94</v>
      </c>
      <c r="B63" s="77">
        <v>1</v>
      </c>
      <c r="C63" s="441"/>
      <c r="D63" s="444"/>
      <c r="E63" s="139">
        <v>4</v>
      </c>
      <c r="F63" s="140"/>
      <c r="G63" s="220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439" t="s">
        <v>96</v>
      </c>
      <c r="D64" s="442">
        <v>171.67</v>
      </c>
      <c r="E64" s="133">
        <v>1</v>
      </c>
      <c r="F64" s="134">
        <v>113592402</v>
      </c>
      <c r="G64" s="221">
        <f>IF(ISBLANK(F64),"-",(F64/$D$50*$D$47*$B$68)*($B$57/$D$64))</f>
        <v>2.783306014574884</v>
      </c>
      <c r="H64" s="141">
        <f t="shared" si="0"/>
        <v>0.92776867152496134</v>
      </c>
    </row>
    <row r="65" spans="1:8" ht="26.25" customHeight="1" x14ac:dyDescent="0.4">
      <c r="A65" s="76" t="s">
        <v>97</v>
      </c>
      <c r="B65" s="77">
        <v>1</v>
      </c>
      <c r="C65" s="440"/>
      <c r="D65" s="443"/>
      <c r="E65" s="136">
        <v>2</v>
      </c>
      <c r="F65" s="265">
        <v>113632540</v>
      </c>
      <c r="G65" s="222">
        <f>IF(ISBLANK(F65),"-",(F65/$D$50*$D$47*$B$68)*($B$57/$D$64))</f>
        <v>2.7842894988119107</v>
      </c>
      <c r="H65" s="142">
        <f t="shared" si="0"/>
        <v>0.92809649960397023</v>
      </c>
    </row>
    <row r="66" spans="1:8" ht="26.25" customHeight="1" x14ac:dyDescent="0.4">
      <c r="A66" s="76" t="s">
        <v>98</v>
      </c>
      <c r="B66" s="77">
        <v>1</v>
      </c>
      <c r="C66" s="440"/>
      <c r="D66" s="443"/>
      <c r="E66" s="136">
        <v>3</v>
      </c>
      <c r="F66" s="265">
        <v>113966274</v>
      </c>
      <c r="G66" s="222">
        <f>IF(ISBLANK(F66),"-",(F66/$D$50*$D$47*$B$68)*($B$57/$D$64))</f>
        <v>2.7924668401931423</v>
      </c>
      <c r="H66" s="142">
        <f t="shared" si="0"/>
        <v>0.93082228006438072</v>
      </c>
    </row>
    <row r="67" spans="1:8" ht="27" customHeight="1" x14ac:dyDescent="0.4">
      <c r="A67" s="76" t="s">
        <v>99</v>
      </c>
      <c r="B67" s="77">
        <v>1</v>
      </c>
      <c r="C67" s="441"/>
      <c r="D67" s="444"/>
      <c r="E67" s="139">
        <v>4</v>
      </c>
      <c r="F67" s="140"/>
      <c r="G67" s="223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6" t="s">
        <v>100</v>
      </c>
      <c r="B68" s="144">
        <f>(B67/B66)*(B65/B64)*(B63/B62)*(B61/B60)*B59</f>
        <v>25</v>
      </c>
      <c r="C68" s="439" t="s">
        <v>101</v>
      </c>
      <c r="D68" s="442">
        <v>176.39</v>
      </c>
      <c r="E68" s="133">
        <v>1</v>
      </c>
      <c r="F68" s="134">
        <v>118112977</v>
      </c>
      <c r="G68" s="221">
        <f>IF(ISBLANK(F68),"-",(F68/$D$50*$D$47*$B$68)*($B$57/$D$68))</f>
        <v>2.8166295921355324</v>
      </c>
      <c r="H68" s="137">
        <f>IF(ISBLANK(F68),"-",G68/$B$56)</f>
        <v>0.93887653071184418</v>
      </c>
    </row>
    <row r="69" spans="1:8" ht="27" customHeight="1" x14ac:dyDescent="0.4">
      <c r="A69" s="123" t="s">
        <v>102</v>
      </c>
      <c r="B69" s="145">
        <f>(D47*B68)/B56*B57</f>
        <v>141.70083333333335</v>
      </c>
      <c r="C69" s="440"/>
      <c r="D69" s="443"/>
      <c r="E69" s="136">
        <v>2</v>
      </c>
      <c r="F69" s="265">
        <v>117938722</v>
      </c>
      <c r="G69" s="222">
        <f>IF(ISBLANK(F69),"-",(F69/$D$50*$D$47*$B$68)*($B$57/$D$68))</f>
        <v>2.8124741487452813</v>
      </c>
      <c r="H69" s="137">
        <f t="shared" si="0"/>
        <v>0.93749138291509382</v>
      </c>
    </row>
    <row r="70" spans="1:8" ht="26.25" customHeight="1" x14ac:dyDescent="0.4">
      <c r="A70" s="452" t="s">
        <v>75</v>
      </c>
      <c r="B70" s="453"/>
      <c r="C70" s="440"/>
      <c r="D70" s="443"/>
      <c r="E70" s="136">
        <v>3</v>
      </c>
      <c r="F70" s="138">
        <v>119640070</v>
      </c>
      <c r="G70" s="222">
        <f>IF(ISBLANK(F70),"-",(F70/$D$50*$D$47*$B$68)*($B$57/$D$68))</f>
        <v>2.8530460422411212</v>
      </c>
      <c r="H70" s="137">
        <f t="shared" si="0"/>
        <v>0.95101534741370708</v>
      </c>
    </row>
    <row r="71" spans="1:8" ht="27" customHeight="1" x14ac:dyDescent="0.4">
      <c r="A71" s="454"/>
      <c r="B71" s="455"/>
      <c r="C71" s="451"/>
      <c r="D71" s="444"/>
      <c r="E71" s="139">
        <v>4</v>
      </c>
      <c r="F71" s="140"/>
      <c r="G71" s="223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49" t="s">
        <v>68</v>
      </c>
      <c r="G72" s="228">
        <f>AVERAGE(G60:G71)</f>
        <v>2.8070353561169785</v>
      </c>
      <c r="H72" s="150">
        <f>AVERAGE(H60:H71)</f>
        <v>0.9356784520389928</v>
      </c>
    </row>
    <row r="73" spans="1:8" ht="26.25" customHeight="1" x14ac:dyDescent="0.4">
      <c r="C73" s="147"/>
      <c r="D73" s="147"/>
      <c r="E73" s="147"/>
      <c r="F73" s="151" t="s">
        <v>81</v>
      </c>
      <c r="G73" s="224">
        <f>STDEV(G60:G71)/G72</f>
        <v>9.4674945027764679E-3</v>
      </c>
      <c r="H73" s="224">
        <f>STDEV(H60:H71)/H72</f>
        <v>9.4674945027764766E-3</v>
      </c>
    </row>
    <row r="74" spans="1:8" ht="27" customHeight="1" x14ac:dyDescent="0.4">
      <c r="A74" s="147"/>
      <c r="B74" s="147"/>
      <c r="C74" s="148"/>
      <c r="D74" s="148"/>
      <c r="E74" s="152"/>
      <c r="F74" s="153" t="s">
        <v>20</v>
      </c>
      <c r="G74" s="154">
        <f>COUNT(G60:G71)</f>
        <v>6</v>
      </c>
      <c r="H74" s="154">
        <f>COUNT(H60:H71)</f>
        <v>6</v>
      </c>
    </row>
    <row r="76" spans="1:8" ht="26.25" customHeight="1" x14ac:dyDescent="0.4">
      <c r="A76" s="60" t="s">
        <v>103</v>
      </c>
      <c r="B76" s="155" t="s">
        <v>104</v>
      </c>
      <c r="C76" s="447">
        <f>B20</f>
        <v>0</v>
      </c>
      <c r="D76" s="447"/>
      <c r="E76" s="156" t="s">
        <v>105</v>
      </c>
      <c r="F76" s="156"/>
      <c r="G76" s="157">
        <f>H72</f>
        <v>0.9356784520389928</v>
      </c>
      <c r="H76" s="158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33" t="s">
        <v>140</v>
      </c>
      <c r="C79" s="433"/>
    </row>
    <row r="80" spans="1:8" ht="26.25" customHeight="1" x14ac:dyDescent="0.4">
      <c r="A80" s="61" t="s">
        <v>45</v>
      </c>
      <c r="B80" s="433" t="s">
        <v>139</v>
      </c>
      <c r="C80" s="433"/>
    </row>
    <row r="81" spans="1:12" ht="27" customHeight="1" x14ac:dyDescent="0.4">
      <c r="A81" s="61" t="s">
        <v>6</v>
      </c>
      <c r="B81" s="159">
        <v>99.3</v>
      </c>
    </row>
    <row r="82" spans="1:12" s="3" customFormat="1" ht="27" customHeight="1" x14ac:dyDescent="0.4">
      <c r="A82" s="61" t="s">
        <v>46</v>
      </c>
      <c r="B82" s="63">
        <v>0</v>
      </c>
      <c r="C82" s="424" t="s">
        <v>47</v>
      </c>
      <c r="D82" s="425"/>
      <c r="E82" s="425"/>
      <c r="F82" s="425"/>
      <c r="G82" s="426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99.3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427" t="s">
        <v>108</v>
      </c>
      <c r="D84" s="428"/>
      <c r="E84" s="428"/>
      <c r="F84" s="428"/>
      <c r="G84" s="428"/>
      <c r="H84" s="429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427" t="s">
        <v>109</v>
      </c>
      <c r="D85" s="428"/>
      <c r="E85" s="428"/>
      <c r="F85" s="428"/>
      <c r="G85" s="428"/>
      <c r="H85" s="429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348">
        <v>100</v>
      </c>
      <c r="D89" s="160" t="s">
        <v>56</v>
      </c>
      <c r="E89" s="161"/>
      <c r="F89" s="430" t="s">
        <v>57</v>
      </c>
      <c r="G89" s="432"/>
    </row>
    <row r="90" spans="1:12" ht="27" customHeight="1" x14ac:dyDescent="0.4">
      <c r="A90" s="76" t="s">
        <v>58</v>
      </c>
      <c r="B90" s="349">
        <v>2</v>
      </c>
      <c r="C90" s="162" t="s">
        <v>59</v>
      </c>
      <c r="D90" s="79" t="s">
        <v>60</v>
      </c>
      <c r="E90" s="80" t="s">
        <v>61</v>
      </c>
      <c r="F90" s="79" t="s">
        <v>60</v>
      </c>
      <c r="G90" s="163" t="s">
        <v>61</v>
      </c>
      <c r="I90" s="82" t="s">
        <v>62</v>
      </c>
    </row>
    <row r="91" spans="1:12" ht="26.25" customHeight="1" x14ac:dyDescent="0.4">
      <c r="A91" s="76" t="s">
        <v>63</v>
      </c>
      <c r="B91" s="349">
        <v>100</v>
      </c>
      <c r="C91" s="164">
        <v>1</v>
      </c>
      <c r="D91" s="261">
        <v>1258907</v>
      </c>
      <c r="E91" s="84">
        <f>IF(ISBLANK(D91),"-",$D$101/$D$98*D91)</f>
        <v>1343700.5514489075</v>
      </c>
      <c r="F91" s="261">
        <v>1121797</v>
      </c>
      <c r="G91" s="85">
        <f>IF(ISBLANK(F91),"-",$D$101/$F$98*F91)</f>
        <v>1307528.859423371</v>
      </c>
      <c r="I91" s="86"/>
    </row>
    <row r="92" spans="1:12" ht="26.25" customHeight="1" x14ac:dyDescent="0.4">
      <c r="A92" s="76" t="s">
        <v>64</v>
      </c>
      <c r="B92" s="349">
        <v>10</v>
      </c>
      <c r="C92" s="148">
        <v>2</v>
      </c>
      <c r="D92" s="265">
        <v>1240664</v>
      </c>
      <c r="E92" s="89">
        <f>IF(ISBLANK(D92),"-",$D$101/$D$98*D92)</f>
        <v>1324228.7960610334</v>
      </c>
      <c r="F92" s="265">
        <v>1146014</v>
      </c>
      <c r="G92" s="90">
        <f>IF(ISBLANK(F92),"-",$D$101/$F$98*F92)</f>
        <v>1335755.3802543734</v>
      </c>
      <c r="I92" s="434">
        <f>ABS((F96/D96*D95)-F95)/D95</f>
        <v>1.0105392205857688E-2</v>
      </c>
    </row>
    <row r="93" spans="1:12" ht="26.25" customHeight="1" x14ac:dyDescent="0.4">
      <c r="A93" s="76" t="s">
        <v>65</v>
      </c>
      <c r="B93" s="349">
        <v>20</v>
      </c>
      <c r="C93" s="148">
        <v>3</v>
      </c>
      <c r="D93" s="265">
        <v>1248257</v>
      </c>
      <c r="E93" s="89">
        <f>IF(ISBLANK(D93),"-",$D$101/$D$98*D93)</f>
        <v>1332333.2217947464</v>
      </c>
      <c r="F93" s="265">
        <v>1126349</v>
      </c>
      <c r="G93" s="90">
        <f>IF(ISBLANK(F93),"-",$D$101/$F$98*F93)</f>
        <v>1312834.5175487674</v>
      </c>
      <c r="I93" s="434"/>
    </row>
    <row r="94" spans="1:12" ht="27" customHeight="1" x14ac:dyDescent="0.4">
      <c r="A94" s="76" t="s">
        <v>66</v>
      </c>
      <c r="B94" s="77">
        <v>1</v>
      </c>
      <c r="C94" s="165">
        <v>4</v>
      </c>
      <c r="D94" s="93"/>
      <c r="E94" s="94" t="str">
        <f>IF(ISBLANK(D94),"-",$D$101/$D$98*D94)</f>
        <v>-</v>
      </c>
      <c r="F94" s="166"/>
      <c r="G94" s="95" t="str">
        <f>IF(ISBLANK(F94),"-",$D$101/$F$98*F94)</f>
        <v>-</v>
      </c>
      <c r="I94" s="96"/>
    </row>
    <row r="95" spans="1:12" ht="27" customHeight="1" x14ac:dyDescent="0.4">
      <c r="A95" s="76" t="s">
        <v>67</v>
      </c>
      <c r="B95" s="77">
        <v>1</v>
      </c>
      <c r="C95" s="167" t="s">
        <v>68</v>
      </c>
      <c r="D95" s="168">
        <f>AVERAGE(D91:D94)</f>
        <v>1249276</v>
      </c>
      <c r="E95" s="99">
        <f>AVERAGE(E91:E94)</f>
        <v>1333420.8564348959</v>
      </c>
      <c r="F95" s="169">
        <f>AVERAGE(F91:F94)</f>
        <v>1131386.6666666667</v>
      </c>
      <c r="G95" s="170">
        <f>AVERAGE(G91:G94)</f>
        <v>1318706.2524088372</v>
      </c>
    </row>
    <row r="96" spans="1:12" ht="26.25" customHeight="1" x14ac:dyDescent="0.4">
      <c r="A96" s="76" t="s">
        <v>69</v>
      </c>
      <c r="B96" s="62">
        <v>1</v>
      </c>
      <c r="C96" s="171" t="s">
        <v>110</v>
      </c>
      <c r="D96" s="350">
        <v>12.58</v>
      </c>
      <c r="E96" s="91"/>
      <c r="F96" s="103">
        <v>11.52</v>
      </c>
    </row>
    <row r="97" spans="1:10" ht="26.25" customHeight="1" x14ac:dyDescent="0.4">
      <c r="A97" s="76" t="s">
        <v>71</v>
      </c>
      <c r="B97" s="62">
        <v>1</v>
      </c>
      <c r="C97" s="172" t="s">
        <v>111</v>
      </c>
      <c r="D97" s="173">
        <f>D96*$B$87</f>
        <v>12.58</v>
      </c>
      <c r="E97" s="106"/>
      <c r="F97" s="105">
        <f>F96*$B$87</f>
        <v>11.52</v>
      </c>
    </row>
    <row r="98" spans="1:10" ht="19.5" customHeight="1" x14ac:dyDescent="0.3">
      <c r="A98" s="76" t="s">
        <v>73</v>
      </c>
      <c r="B98" s="174">
        <f>(B97/B96)*(B95/B94)*(B93/B92)*(B91/B90)*B89</f>
        <v>10000</v>
      </c>
      <c r="C98" s="172" t="s">
        <v>112</v>
      </c>
      <c r="D98" s="175">
        <f>D97*$B$83/100</f>
        <v>12.49194</v>
      </c>
      <c r="E98" s="109"/>
      <c r="F98" s="108">
        <f>F97*$B$83/100</f>
        <v>11.439359999999999</v>
      </c>
    </row>
    <row r="99" spans="1:10" ht="19.5" customHeight="1" x14ac:dyDescent="0.3">
      <c r="A99" s="435" t="s">
        <v>75</v>
      </c>
      <c r="B99" s="449"/>
      <c r="C99" s="172" t="s">
        <v>113</v>
      </c>
      <c r="D99" s="176">
        <f>D98/$B$98</f>
        <v>1.2491939999999999E-3</v>
      </c>
      <c r="E99" s="109"/>
      <c r="F99" s="112">
        <f>F98/$B$98</f>
        <v>1.1439359999999999E-3</v>
      </c>
      <c r="G99" s="177"/>
      <c r="H99" s="101"/>
    </row>
    <row r="100" spans="1:10" ht="19.5" customHeight="1" x14ac:dyDescent="0.3">
      <c r="A100" s="437"/>
      <c r="B100" s="450"/>
      <c r="C100" s="172" t="s">
        <v>77</v>
      </c>
      <c r="D100" s="178">
        <f>$B$56/$B$116</f>
        <v>1.3333333333333333E-3</v>
      </c>
      <c r="F100" s="117"/>
      <c r="G100" s="179"/>
      <c r="H100" s="101"/>
    </row>
    <row r="101" spans="1:10" ht="18.75" x14ac:dyDescent="0.3">
      <c r="C101" s="172" t="s">
        <v>78</v>
      </c>
      <c r="D101" s="173">
        <f>D100*$B$98</f>
        <v>13.333333333333332</v>
      </c>
      <c r="F101" s="117"/>
      <c r="G101" s="177"/>
      <c r="H101" s="101"/>
    </row>
    <row r="102" spans="1:10" ht="19.5" customHeight="1" x14ac:dyDescent="0.3">
      <c r="C102" s="180" t="s">
        <v>79</v>
      </c>
      <c r="D102" s="181">
        <f>D101/B34</f>
        <v>13.333333333333332</v>
      </c>
      <c r="F102" s="121"/>
      <c r="G102" s="177"/>
      <c r="H102" s="101"/>
      <c r="J102" s="182"/>
    </row>
    <row r="103" spans="1:10" ht="18.75" x14ac:dyDescent="0.3">
      <c r="C103" s="183" t="s">
        <v>114</v>
      </c>
      <c r="D103" s="184">
        <f>AVERAGE(E91:E94,G91:G94)</f>
        <v>1326063.5544218665</v>
      </c>
      <c r="F103" s="121"/>
      <c r="G103" s="185"/>
      <c r="H103" s="101"/>
      <c r="J103" s="186"/>
    </row>
    <row r="104" spans="1:10" ht="18.75" x14ac:dyDescent="0.3">
      <c r="C104" s="151" t="s">
        <v>81</v>
      </c>
      <c r="D104" s="187">
        <f>STDEV(E91:E94,G91:G94)/D103</f>
        <v>1.0483034061154761E-2</v>
      </c>
      <c r="F104" s="121"/>
      <c r="G104" s="177"/>
      <c r="H104" s="101"/>
      <c r="J104" s="186"/>
    </row>
    <row r="105" spans="1:10" ht="19.5" customHeight="1" x14ac:dyDescent="0.3">
      <c r="C105" s="153" t="s">
        <v>20</v>
      </c>
      <c r="D105" s="188">
        <f>COUNT(E91:E94,G91:G94)</f>
        <v>6</v>
      </c>
      <c r="F105" s="121"/>
      <c r="G105" s="177"/>
      <c r="H105" s="101"/>
      <c r="J105" s="186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6.25" customHeight="1" x14ac:dyDescent="0.4">
      <c r="A107" s="74" t="s">
        <v>115</v>
      </c>
      <c r="B107" s="75">
        <v>900</v>
      </c>
      <c r="C107" s="189" t="s">
        <v>116</v>
      </c>
      <c r="D107" s="190" t="s">
        <v>60</v>
      </c>
      <c r="E107" s="191" t="s">
        <v>117</v>
      </c>
      <c r="F107" s="192" t="s">
        <v>118</v>
      </c>
    </row>
    <row r="108" spans="1:10" ht="26.25" customHeight="1" x14ac:dyDescent="0.4">
      <c r="A108" s="76" t="s">
        <v>119</v>
      </c>
      <c r="B108" s="77">
        <v>4</v>
      </c>
      <c r="C108" s="193">
        <v>1</v>
      </c>
      <c r="D108" s="194">
        <v>1201937</v>
      </c>
      <c r="E108" s="225">
        <f t="shared" ref="E108:E113" si="1">IF(ISBLANK(D108),"-",D108/$D$103*$D$100*$B$116)</f>
        <v>2.7191841506963454</v>
      </c>
      <c r="F108" s="195">
        <f>IF(ISBLANK(D108), "-", E108/$B$56)</f>
        <v>0.90639471689878182</v>
      </c>
    </row>
    <row r="109" spans="1:10" ht="26.25" customHeight="1" x14ac:dyDescent="0.4">
      <c r="A109" s="76" t="s">
        <v>92</v>
      </c>
      <c r="B109" s="77">
        <v>10</v>
      </c>
      <c r="C109" s="193">
        <v>2</v>
      </c>
      <c r="D109" s="194">
        <v>1351843</v>
      </c>
      <c r="E109" s="226">
        <f t="shared" si="1"/>
        <v>3.0583217421793321</v>
      </c>
      <c r="F109" s="196">
        <f t="shared" ref="F109:F113" si="2">IF(ISBLANK(D109), "-", E109/$B$56)</f>
        <v>1.0194405807264439</v>
      </c>
    </row>
    <row r="110" spans="1:10" ht="26.25" customHeight="1" x14ac:dyDescent="0.4">
      <c r="A110" s="76" t="s">
        <v>93</v>
      </c>
      <c r="B110" s="77">
        <v>1</v>
      </c>
      <c r="C110" s="193">
        <v>3</v>
      </c>
      <c r="D110" s="194">
        <v>1209462</v>
      </c>
      <c r="E110" s="226">
        <f t="shared" si="1"/>
        <v>2.7362082216201875</v>
      </c>
      <c r="F110" s="196">
        <f t="shared" si="2"/>
        <v>0.91206940720672913</v>
      </c>
    </row>
    <row r="111" spans="1:10" ht="26.25" customHeight="1" x14ac:dyDescent="0.4">
      <c r="A111" s="76" t="s">
        <v>94</v>
      </c>
      <c r="B111" s="77">
        <v>1</v>
      </c>
      <c r="C111" s="193">
        <v>4</v>
      </c>
      <c r="D111" s="194">
        <v>1254740</v>
      </c>
      <c r="E111" s="226">
        <f t="shared" si="1"/>
        <v>2.8386422260440707</v>
      </c>
      <c r="F111" s="196">
        <f t="shared" si="2"/>
        <v>0.9462140753480236</v>
      </c>
    </row>
    <row r="112" spans="1:10" ht="26.25" customHeight="1" x14ac:dyDescent="0.4">
      <c r="A112" s="76" t="s">
        <v>95</v>
      </c>
      <c r="B112" s="77">
        <v>1</v>
      </c>
      <c r="C112" s="193">
        <v>5</v>
      </c>
      <c r="D112" s="194">
        <v>1211020</v>
      </c>
      <c r="E112" s="226">
        <f t="shared" si="1"/>
        <v>2.7397329395602998</v>
      </c>
      <c r="F112" s="196">
        <f t="shared" si="2"/>
        <v>0.91324431318676658</v>
      </c>
    </row>
    <row r="113" spans="1:10" ht="26.25" customHeight="1" x14ac:dyDescent="0.4">
      <c r="A113" s="76" t="s">
        <v>97</v>
      </c>
      <c r="B113" s="77">
        <v>1</v>
      </c>
      <c r="C113" s="197">
        <v>6</v>
      </c>
      <c r="D113" s="198">
        <v>1216242</v>
      </c>
      <c r="E113" s="227">
        <f t="shared" si="1"/>
        <v>2.7515468529641938</v>
      </c>
      <c r="F113" s="199">
        <f t="shared" si="2"/>
        <v>0.91718228432139792</v>
      </c>
    </row>
    <row r="114" spans="1:10" ht="26.25" customHeight="1" x14ac:dyDescent="0.4">
      <c r="A114" s="76" t="s">
        <v>98</v>
      </c>
      <c r="B114" s="77">
        <v>1</v>
      </c>
      <c r="C114" s="193"/>
      <c r="D114" s="148"/>
      <c r="E114" s="50"/>
      <c r="F114" s="200"/>
    </row>
    <row r="115" spans="1:10" ht="26.25" customHeight="1" x14ac:dyDescent="0.4">
      <c r="A115" s="76" t="s">
        <v>99</v>
      </c>
      <c r="B115" s="77">
        <v>1</v>
      </c>
      <c r="C115" s="193"/>
      <c r="D115" s="201" t="s">
        <v>68</v>
      </c>
      <c r="E115" s="229">
        <f>AVERAGE(E108:E113)</f>
        <v>2.8072726888440713</v>
      </c>
      <c r="F115" s="202">
        <f>AVERAGE(F108:F113)</f>
        <v>0.93575756294802392</v>
      </c>
    </row>
    <row r="116" spans="1:10" ht="27" customHeight="1" x14ac:dyDescent="0.4">
      <c r="A116" s="76" t="s">
        <v>100</v>
      </c>
      <c r="B116" s="107">
        <f>(B115/B114)*(B113/B112)*(B111/B110)*(B109/B108)*B107</f>
        <v>2250</v>
      </c>
      <c r="C116" s="203"/>
      <c r="D116" s="167" t="s">
        <v>81</v>
      </c>
      <c r="E116" s="204">
        <f>STDEV(E108:E113)/E115</f>
        <v>4.6304566964570588E-2</v>
      </c>
      <c r="F116" s="204">
        <f>STDEV(F108:F113)/F115</f>
        <v>4.6304566964570547E-2</v>
      </c>
      <c r="I116" s="50"/>
    </row>
    <row r="117" spans="1:10" ht="27" customHeight="1" x14ac:dyDescent="0.4">
      <c r="A117" s="435" t="s">
        <v>75</v>
      </c>
      <c r="B117" s="436"/>
      <c r="C117" s="205"/>
      <c r="D117" s="206" t="s">
        <v>20</v>
      </c>
      <c r="E117" s="207">
        <f>COUNT(E108:E113)</f>
        <v>6</v>
      </c>
      <c r="F117" s="207">
        <f>COUNT(F108:F113)</f>
        <v>6</v>
      </c>
      <c r="I117" s="50"/>
      <c r="J117" s="186"/>
    </row>
    <row r="118" spans="1:10" ht="19.5" customHeight="1" x14ac:dyDescent="0.3">
      <c r="A118" s="437"/>
      <c r="B118" s="438"/>
      <c r="C118" s="50"/>
      <c r="D118" s="50"/>
      <c r="E118" s="50"/>
      <c r="F118" s="148"/>
      <c r="G118" s="50"/>
      <c r="H118" s="50"/>
      <c r="I118" s="50"/>
    </row>
    <row r="119" spans="1:10" ht="18.75" x14ac:dyDescent="0.3">
      <c r="A119" s="216"/>
      <c r="B119" s="72"/>
      <c r="C119" s="50"/>
      <c r="D119" s="50"/>
      <c r="E119" s="50"/>
      <c r="F119" s="148"/>
      <c r="G119" s="50"/>
      <c r="H119" s="50"/>
      <c r="I119" s="50"/>
    </row>
    <row r="120" spans="1:10" ht="26.25" customHeight="1" x14ac:dyDescent="0.4">
      <c r="A120" s="60" t="s">
        <v>103</v>
      </c>
      <c r="B120" s="155" t="s">
        <v>120</v>
      </c>
      <c r="C120" s="447">
        <f>B20</f>
        <v>0</v>
      </c>
      <c r="D120" s="447"/>
      <c r="E120" s="156" t="s">
        <v>121</v>
      </c>
      <c r="F120" s="156"/>
      <c r="G120" s="157">
        <f>F115</f>
        <v>0.93575756294802392</v>
      </c>
      <c r="H120" s="50"/>
      <c r="I120" s="50"/>
    </row>
    <row r="121" spans="1:10" ht="19.5" customHeight="1" x14ac:dyDescent="0.3">
      <c r="A121" s="208"/>
      <c r="B121" s="208"/>
      <c r="C121" s="209"/>
      <c r="D121" s="209"/>
      <c r="E121" s="209"/>
      <c r="F121" s="209"/>
      <c r="G121" s="209"/>
      <c r="H121" s="209"/>
    </row>
    <row r="122" spans="1:10" ht="18.75" x14ac:dyDescent="0.3">
      <c r="B122" s="448" t="s">
        <v>23</v>
      </c>
      <c r="C122" s="448"/>
      <c r="E122" s="162" t="s">
        <v>24</v>
      </c>
      <c r="F122" s="210"/>
      <c r="G122" s="448" t="s">
        <v>25</v>
      </c>
      <c r="H122" s="448"/>
    </row>
    <row r="123" spans="1:10" ht="69.95" customHeight="1" x14ac:dyDescent="0.3">
      <c r="A123" s="211" t="s">
        <v>26</v>
      </c>
      <c r="B123" s="212"/>
      <c r="C123" s="406" t="s">
        <v>148</v>
      </c>
      <c r="E123" s="406" t="s">
        <v>149</v>
      </c>
      <c r="F123" s="50"/>
      <c r="G123" s="213"/>
      <c r="H123" s="213"/>
    </row>
    <row r="124" spans="1:10" ht="69.95" customHeight="1" x14ac:dyDescent="0.3">
      <c r="A124" s="211" t="s">
        <v>27</v>
      </c>
      <c r="B124" s="214"/>
      <c r="C124" s="214" t="s">
        <v>150</v>
      </c>
      <c r="E124" s="214" t="s">
        <v>151</v>
      </c>
      <c r="F124" s="50"/>
      <c r="G124" s="215"/>
      <c r="H124" s="215"/>
    </row>
    <row r="125" spans="1:10" ht="18.75" x14ac:dyDescent="0.3">
      <c r="A125" s="147"/>
      <c r="B125" s="147"/>
      <c r="C125" s="148"/>
      <c r="D125" s="148"/>
      <c r="E125" s="148"/>
      <c r="F125" s="152"/>
      <c r="G125" s="148"/>
      <c r="H125" s="148"/>
      <c r="I125" s="50"/>
    </row>
    <row r="126" spans="1:10" ht="18.75" x14ac:dyDescent="0.3">
      <c r="A126" s="147"/>
      <c r="B126" s="147"/>
      <c r="C126" s="148"/>
      <c r="D126" s="148"/>
      <c r="E126" s="148"/>
      <c r="F126" s="152"/>
      <c r="G126" s="148"/>
      <c r="H126" s="148"/>
      <c r="I126" s="50"/>
    </row>
    <row r="127" spans="1:10" ht="18.75" x14ac:dyDescent="0.3">
      <c r="A127" s="147"/>
      <c r="B127" s="147"/>
      <c r="C127" s="148"/>
      <c r="D127" s="148"/>
      <c r="E127" s="148"/>
      <c r="F127" s="152"/>
      <c r="G127" s="148"/>
      <c r="H127" s="148"/>
      <c r="I127" s="50"/>
    </row>
    <row r="128" spans="1:10" ht="18.75" x14ac:dyDescent="0.3">
      <c r="A128" s="147"/>
      <c r="B128" s="147"/>
      <c r="C128" s="148"/>
      <c r="D128" s="148"/>
      <c r="E128" s="148"/>
      <c r="F128" s="152"/>
      <c r="G128" s="148"/>
      <c r="H128" s="148"/>
      <c r="I128" s="50"/>
    </row>
    <row r="129" spans="1:9" ht="18.75" x14ac:dyDescent="0.3">
      <c r="A129" s="147"/>
      <c r="B129" s="147"/>
      <c r="C129" s="148"/>
      <c r="D129" s="148"/>
      <c r="E129" s="148"/>
      <c r="F129" s="152"/>
      <c r="G129" s="148"/>
      <c r="H129" s="148"/>
      <c r="I129" s="50"/>
    </row>
    <row r="130" spans="1:9" ht="18.75" x14ac:dyDescent="0.3">
      <c r="A130" s="147"/>
      <c r="B130" s="147"/>
      <c r="C130" s="148"/>
      <c r="D130" s="148"/>
      <c r="E130" s="148"/>
      <c r="F130" s="152"/>
      <c r="G130" s="148"/>
      <c r="H130" s="148"/>
      <c r="I130" s="50"/>
    </row>
    <row r="131" spans="1:9" ht="18.75" x14ac:dyDescent="0.3">
      <c r="A131" s="147"/>
      <c r="B131" s="147"/>
      <c r="C131" s="148"/>
      <c r="D131" s="148"/>
      <c r="E131" s="148"/>
      <c r="F131" s="152"/>
      <c r="G131" s="148"/>
      <c r="H131" s="148"/>
      <c r="I131" s="50"/>
    </row>
    <row r="132" spans="1:9" ht="18.75" x14ac:dyDescent="0.3">
      <c r="A132" s="147"/>
      <c r="B132" s="147"/>
      <c r="C132" s="148"/>
      <c r="D132" s="148"/>
      <c r="E132" s="148"/>
      <c r="F132" s="152"/>
      <c r="G132" s="148"/>
      <c r="H132" s="148"/>
      <c r="I132" s="50"/>
    </row>
    <row r="133" spans="1:9" ht="18.75" x14ac:dyDescent="0.3">
      <c r="A133" s="147"/>
      <c r="B133" s="147"/>
      <c r="C133" s="148"/>
      <c r="D133" s="148"/>
      <c r="E133" s="148"/>
      <c r="F133" s="152"/>
      <c r="G133" s="148"/>
      <c r="H133" s="148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0" priority="1" operator="greaterThan">
      <formula>0.02</formula>
    </cfRule>
  </conditionalFormatting>
  <conditionalFormatting sqref="D51">
    <cfRule type="cellIs" dxfId="9" priority="2" operator="greaterThan">
      <formula>0.02</formula>
    </cfRule>
  </conditionalFormatting>
  <conditionalFormatting sqref="G73">
    <cfRule type="cellIs" dxfId="8" priority="3" operator="greaterThan">
      <formula>0.02</formula>
    </cfRule>
  </conditionalFormatting>
  <conditionalFormatting sqref="H73">
    <cfRule type="cellIs" dxfId="7" priority="4" operator="greaterThan">
      <formula>0.02</formula>
    </cfRule>
  </conditionalFormatting>
  <conditionalFormatting sqref="D104">
    <cfRule type="cellIs" dxfId="6" priority="5" operator="greaterThan">
      <formula>0.02</formula>
    </cfRule>
  </conditionalFormatting>
  <conditionalFormatting sqref="I39">
    <cfRule type="cellIs" dxfId="5" priority="6" operator="lessThanOrEqual">
      <formula>0.02</formula>
    </cfRule>
  </conditionalFormatting>
  <conditionalFormatting sqref="I39">
    <cfRule type="cellIs" dxfId="4" priority="7" operator="greaterThan">
      <formula>0.02</formula>
    </cfRule>
  </conditionalFormatting>
  <conditionalFormatting sqref="I92">
    <cfRule type="cellIs" dxfId="3" priority="8" operator="lessThanOrEqual">
      <formula>0.02</formula>
    </cfRule>
  </conditionalFormatting>
  <conditionalFormatting sqref="I92">
    <cfRule type="cellIs" dxfId="2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Views>
    <sheetView view="pageBreakPreview" topLeftCell="A73" zoomScale="70" zoomScaleNormal="70" zoomScaleSheetLayoutView="70" workbookViewId="0">
      <selection activeCell="C99" sqref="C99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2.85546875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45" t="s">
        <v>42</v>
      </c>
      <c r="B1" s="445"/>
      <c r="C1" s="445"/>
      <c r="D1" s="445"/>
      <c r="E1" s="445"/>
      <c r="F1" s="445"/>
      <c r="G1" s="445"/>
    </row>
    <row r="2" spans="1:7" x14ac:dyDescent="0.2">
      <c r="A2" s="445"/>
      <c r="B2" s="445"/>
      <c r="C2" s="445"/>
      <c r="D2" s="445"/>
      <c r="E2" s="445"/>
      <c r="F2" s="445"/>
      <c r="G2" s="445"/>
    </row>
    <row r="3" spans="1:7" x14ac:dyDescent="0.2">
      <c r="A3" s="445"/>
      <c r="B3" s="445"/>
      <c r="C3" s="445"/>
      <c r="D3" s="445"/>
      <c r="E3" s="445"/>
      <c r="F3" s="445"/>
      <c r="G3" s="445"/>
    </row>
    <row r="4" spans="1:7" x14ac:dyDescent="0.2">
      <c r="A4" s="445"/>
      <c r="B4" s="445"/>
      <c r="C4" s="445"/>
      <c r="D4" s="445"/>
      <c r="E4" s="445"/>
      <c r="F4" s="445"/>
      <c r="G4" s="445"/>
    </row>
    <row r="5" spans="1:7" x14ac:dyDescent="0.2">
      <c r="A5" s="445"/>
      <c r="B5" s="445"/>
      <c r="C5" s="445"/>
      <c r="D5" s="445"/>
      <c r="E5" s="445"/>
      <c r="F5" s="445"/>
      <c r="G5" s="445"/>
    </row>
    <row r="6" spans="1:7" x14ac:dyDescent="0.2">
      <c r="A6" s="445"/>
      <c r="B6" s="445"/>
      <c r="C6" s="445"/>
      <c r="D6" s="445"/>
      <c r="E6" s="445"/>
      <c r="F6" s="445"/>
      <c r="G6" s="445"/>
    </row>
    <row r="7" spans="1:7" x14ac:dyDescent="0.2">
      <c r="A7" s="445"/>
      <c r="B7" s="445"/>
      <c r="C7" s="445"/>
      <c r="D7" s="445"/>
      <c r="E7" s="445"/>
      <c r="F7" s="445"/>
      <c r="G7" s="445"/>
    </row>
    <row r="8" spans="1:7" x14ac:dyDescent="0.2">
      <c r="A8" s="446" t="s">
        <v>43</v>
      </c>
      <c r="B8" s="446"/>
      <c r="C8" s="446"/>
      <c r="D8" s="446"/>
      <c r="E8" s="446"/>
      <c r="F8" s="446"/>
      <c r="G8" s="446"/>
    </row>
    <row r="9" spans="1:7" x14ac:dyDescent="0.2">
      <c r="A9" s="446"/>
      <c r="B9" s="446"/>
      <c r="C9" s="446"/>
      <c r="D9" s="446"/>
      <c r="E9" s="446"/>
      <c r="F9" s="446"/>
      <c r="G9" s="446"/>
    </row>
    <row r="10" spans="1:7" x14ac:dyDescent="0.2">
      <c r="A10" s="446"/>
      <c r="B10" s="446"/>
      <c r="C10" s="446"/>
      <c r="D10" s="446"/>
      <c r="E10" s="446"/>
      <c r="F10" s="446"/>
      <c r="G10" s="446"/>
    </row>
    <row r="11" spans="1:7" x14ac:dyDescent="0.2">
      <c r="A11" s="446"/>
      <c r="B11" s="446"/>
      <c r="C11" s="446"/>
      <c r="D11" s="446"/>
      <c r="E11" s="446"/>
      <c r="F11" s="446"/>
      <c r="G11" s="446"/>
    </row>
    <row r="12" spans="1:7" x14ac:dyDescent="0.2">
      <c r="A12" s="446"/>
      <c r="B12" s="446"/>
      <c r="C12" s="446"/>
      <c r="D12" s="446"/>
      <c r="E12" s="446"/>
      <c r="F12" s="446"/>
      <c r="G12" s="446"/>
    </row>
    <row r="13" spans="1:7" x14ac:dyDescent="0.2">
      <c r="A13" s="446"/>
      <c r="B13" s="446"/>
      <c r="C13" s="446"/>
      <c r="D13" s="446"/>
      <c r="E13" s="446"/>
      <c r="F13" s="446"/>
      <c r="G13" s="446"/>
    </row>
    <row r="14" spans="1:7" x14ac:dyDescent="0.2">
      <c r="A14" s="446"/>
      <c r="B14" s="446"/>
      <c r="C14" s="446"/>
      <c r="D14" s="446"/>
      <c r="E14" s="446"/>
      <c r="F14" s="446"/>
      <c r="G14" s="446"/>
    </row>
    <row r="15" spans="1:7" ht="19.5" customHeight="1" x14ac:dyDescent="0.3">
      <c r="A15" s="231"/>
      <c r="B15" s="231"/>
      <c r="C15" s="231"/>
      <c r="D15" s="231"/>
      <c r="E15" s="231"/>
      <c r="F15" s="231"/>
      <c r="G15" s="231"/>
    </row>
    <row r="16" spans="1:7" ht="19.5" customHeight="1" x14ac:dyDescent="0.3">
      <c r="A16" s="418" t="s">
        <v>28</v>
      </c>
      <c r="B16" s="419"/>
      <c r="C16" s="419"/>
      <c r="D16" s="419"/>
      <c r="E16" s="419"/>
      <c r="F16" s="419"/>
      <c r="G16" s="419"/>
    </row>
    <row r="17" spans="1:7" ht="18.75" customHeight="1" x14ac:dyDescent="0.3">
      <c r="A17" s="232" t="s">
        <v>44</v>
      </c>
      <c r="B17" s="232"/>
      <c r="C17" s="231"/>
      <c r="D17" s="231"/>
      <c r="E17" s="231"/>
      <c r="F17" s="231"/>
      <c r="G17" s="231"/>
    </row>
    <row r="18" spans="1:7" ht="26.25" customHeight="1" x14ac:dyDescent="0.4">
      <c r="A18" s="233" t="s">
        <v>30</v>
      </c>
      <c r="B18" s="433" t="s">
        <v>141</v>
      </c>
      <c r="C18" s="433"/>
      <c r="D18" s="234"/>
      <c r="E18" s="234"/>
      <c r="F18" s="231"/>
      <c r="G18" s="231"/>
    </row>
    <row r="19" spans="1:7" ht="26.25" customHeight="1" x14ac:dyDescent="0.4">
      <c r="A19" s="233" t="s">
        <v>31</v>
      </c>
      <c r="B19" s="358" t="s">
        <v>7</v>
      </c>
      <c r="C19" s="231">
        <v>12</v>
      </c>
      <c r="E19" s="231"/>
      <c r="F19" s="231"/>
      <c r="G19" s="231"/>
    </row>
    <row r="20" spans="1:7" ht="26.25" customHeight="1" x14ac:dyDescent="0.4">
      <c r="A20" s="233" t="s">
        <v>32</v>
      </c>
      <c r="B20" s="423" t="s">
        <v>143</v>
      </c>
      <c r="C20" s="423"/>
      <c r="D20" s="231"/>
      <c r="E20" s="231"/>
      <c r="F20" s="231"/>
      <c r="G20" s="231"/>
    </row>
    <row r="21" spans="1:7" ht="26.25" customHeight="1" x14ac:dyDescent="0.4">
      <c r="A21" s="233" t="s">
        <v>33</v>
      </c>
      <c r="B21" s="360" t="s">
        <v>142</v>
      </c>
      <c r="C21" s="235"/>
      <c r="D21" s="236"/>
      <c r="E21" s="236"/>
      <c r="F21" s="236"/>
      <c r="G21" s="236"/>
    </row>
    <row r="22" spans="1:7" ht="26.25" customHeight="1" x14ac:dyDescent="0.4">
      <c r="A22" s="233" t="s">
        <v>34</v>
      </c>
      <c r="B22" s="237">
        <v>42367</v>
      </c>
      <c r="C22" s="238"/>
      <c r="D22" s="231"/>
      <c r="E22" s="231"/>
      <c r="F22" s="231"/>
      <c r="G22" s="231"/>
    </row>
    <row r="23" spans="1:7" ht="26.25" customHeight="1" x14ac:dyDescent="0.4">
      <c r="A23" s="233" t="s">
        <v>35</v>
      </c>
      <c r="B23" s="237">
        <v>42384</v>
      </c>
      <c r="C23" s="238"/>
      <c r="D23" s="231"/>
      <c r="E23" s="231"/>
      <c r="F23" s="231"/>
      <c r="G23" s="231"/>
    </row>
    <row r="24" spans="1:7" ht="18.75" customHeight="1" x14ac:dyDescent="0.3">
      <c r="A24" s="233"/>
      <c r="B24" s="239"/>
      <c r="C24" s="231"/>
      <c r="D24" s="231"/>
      <c r="E24" s="231"/>
      <c r="F24" s="231"/>
      <c r="G24" s="231"/>
    </row>
    <row r="25" spans="1:7" ht="18.75" customHeight="1" x14ac:dyDescent="0.3">
      <c r="A25" s="240" t="s">
        <v>1</v>
      </c>
      <c r="B25" s="239"/>
      <c r="C25" s="231"/>
      <c r="D25" s="231"/>
      <c r="E25" s="231"/>
      <c r="F25" s="231"/>
      <c r="G25" s="231"/>
    </row>
    <row r="26" spans="1:7" ht="26.25" customHeight="1" x14ac:dyDescent="0.4">
      <c r="A26" s="241" t="s">
        <v>4</v>
      </c>
      <c r="B26" s="433" t="s">
        <v>140</v>
      </c>
      <c r="C26" s="433"/>
      <c r="D26" s="231"/>
      <c r="E26" s="231"/>
      <c r="F26" s="231"/>
      <c r="G26" s="231"/>
    </row>
    <row r="27" spans="1:7" ht="26.25" customHeight="1" x14ac:dyDescent="0.4">
      <c r="A27" s="242" t="s">
        <v>45</v>
      </c>
      <c r="B27" s="423" t="s">
        <v>139</v>
      </c>
      <c r="C27" s="423"/>
      <c r="D27" s="231"/>
      <c r="E27" s="231"/>
      <c r="F27" s="231"/>
      <c r="G27" s="231"/>
    </row>
    <row r="28" spans="1:7" ht="27" customHeight="1" x14ac:dyDescent="0.4">
      <c r="A28" s="242" t="s">
        <v>6</v>
      </c>
      <c r="B28" s="243">
        <v>99.3</v>
      </c>
      <c r="C28" s="231"/>
      <c r="D28" s="231"/>
      <c r="E28" s="231"/>
      <c r="F28" s="231"/>
      <c r="G28" s="231"/>
    </row>
    <row r="29" spans="1:7" ht="27" customHeight="1" x14ac:dyDescent="0.4">
      <c r="A29" s="242" t="s">
        <v>46</v>
      </c>
      <c r="B29" s="244">
        <v>0</v>
      </c>
      <c r="C29" s="427" t="s">
        <v>122</v>
      </c>
      <c r="D29" s="428"/>
      <c r="E29" s="428"/>
      <c r="F29" s="428"/>
      <c r="G29" s="429"/>
    </row>
    <row r="30" spans="1:7" ht="19.5" customHeight="1" x14ac:dyDescent="0.3">
      <c r="A30" s="242" t="s">
        <v>48</v>
      </c>
      <c r="B30" s="246">
        <f>B28-B29</f>
        <v>99.3</v>
      </c>
      <c r="C30" s="247"/>
      <c r="D30" s="247"/>
      <c r="E30" s="247"/>
      <c r="F30" s="247"/>
      <c r="G30" s="247"/>
    </row>
    <row r="31" spans="1:7" ht="27" customHeight="1" x14ac:dyDescent="0.4">
      <c r="A31" s="242" t="s">
        <v>49</v>
      </c>
      <c r="B31" s="248">
        <v>1</v>
      </c>
      <c r="C31" s="427" t="s">
        <v>50</v>
      </c>
      <c r="D31" s="428"/>
      <c r="E31" s="428"/>
      <c r="F31" s="428"/>
      <c r="G31" s="429"/>
    </row>
    <row r="32" spans="1:7" ht="27" customHeight="1" x14ac:dyDescent="0.4">
      <c r="A32" s="242" t="s">
        <v>51</v>
      </c>
      <c r="B32" s="248">
        <v>1</v>
      </c>
      <c r="C32" s="427" t="s">
        <v>52</v>
      </c>
      <c r="D32" s="428"/>
      <c r="E32" s="428"/>
      <c r="F32" s="428"/>
      <c r="G32" s="429"/>
    </row>
    <row r="33" spans="1:7" ht="18.75" customHeight="1" x14ac:dyDescent="0.3">
      <c r="A33" s="242"/>
      <c r="B33" s="249"/>
      <c r="C33" s="250"/>
      <c r="D33" s="250"/>
      <c r="E33" s="250"/>
      <c r="F33" s="250"/>
      <c r="G33" s="250"/>
    </row>
    <row r="34" spans="1:7" ht="18.75" customHeight="1" x14ac:dyDescent="0.3">
      <c r="A34" s="242" t="s">
        <v>53</v>
      </c>
      <c r="B34" s="251">
        <f>B31/B32</f>
        <v>1</v>
      </c>
      <c r="C34" s="231" t="s">
        <v>54</v>
      </c>
      <c r="D34" s="231"/>
      <c r="E34" s="231"/>
      <c r="F34" s="231"/>
      <c r="G34" s="231"/>
    </row>
    <row r="35" spans="1:7" ht="19.5" customHeight="1" x14ac:dyDescent="0.3">
      <c r="A35" s="242"/>
      <c r="B35" s="246"/>
      <c r="C35" s="245"/>
      <c r="D35" s="245"/>
      <c r="E35" s="245"/>
      <c r="F35" s="245"/>
      <c r="G35" s="231"/>
    </row>
    <row r="36" spans="1:7" ht="27" customHeight="1" x14ac:dyDescent="0.4">
      <c r="A36" s="252" t="s">
        <v>123</v>
      </c>
      <c r="B36" s="253">
        <v>100</v>
      </c>
      <c r="C36" s="231"/>
      <c r="D36" s="430" t="s">
        <v>56</v>
      </c>
      <c r="E36" s="431"/>
      <c r="F36" s="430" t="s">
        <v>57</v>
      </c>
      <c r="G36" s="432"/>
    </row>
    <row r="37" spans="1:7" ht="26.25" customHeight="1" x14ac:dyDescent="0.4">
      <c r="A37" s="254" t="s">
        <v>58</v>
      </c>
      <c r="B37" s="255">
        <v>1</v>
      </c>
      <c r="C37" s="256" t="s">
        <v>59</v>
      </c>
      <c r="D37" s="257" t="s">
        <v>60</v>
      </c>
      <c r="E37" s="258" t="s">
        <v>61</v>
      </c>
      <c r="F37" s="257" t="s">
        <v>60</v>
      </c>
      <c r="G37" s="259" t="s">
        <v>61</v>
      </c>
    </row>
    <row r="38" spans="1:7" ht="26.25" customHeight="1" x14ac:dyDescent="0.4">
      <c r="A38" s="254" t="s">
        <v>63</v>
      </c>
      <c r="B38" s="255">
        <v>1</v>
      </c>
      <c r="C38" s="260">
        <v>1</v>
      </c>
      <c r="D38" s="261">
        <v>108407904</v>
      </c>
      <c r="E38" s="262">
        <f>IF(ISBLANK(D38),"-",$D$48/$D$45*D38)</f>
        <v>101839653.69526987</v>
      </c>
      <c r="F38" s="261">
        <v>119726946</v>
      </c>
      <c r="G38" s="263">
        <f>IF(ISBLANK(F38),"-",$D$48/$F$45*F38)</f>
        <v>100475785.49848944</v>
      </c>
    </row>
    <row r="39" spans="1:7" ht="26.25" customHeight="1" x14ac:dyDescent="0.4">
      <c r="A39" s="254" t="s">
        <v>64</v>
      </c>
      <c r="B39" s="255">
        <v>1</v>
      </c>
      <c r="C39" s="264">
        <v>2</v>
      </c>
      <c r="D39" s="265">
        <v>108246591</v>
      </c>
      <c r="E39" s="266">
        <f>IF(ISBLANK(D39),"-",$D$48/$D$45*D39)</f>
        <v>101688114.37525363</v>
      </c>
      <c r="F39" s="265">
        <v>119661211</v>
      </c>
      <c r="G39" s="267">
        <f>IF(ISBLANK(F39),"-",$D$48/$F$45*F39)</f>
        <v>100420620.17455523</v>
      </c>
    </row>
    <row r="40" spans="1:7" ht="26.25" customHeight="1" x14ac:dyDescent="0.4">
      <c r="A40" s="254" t="s">
        <v>65</v>
      </c>
      <c r="B40" s="255">
        <v>1</v>
      </c>
      <c r="C40" s="264">
        <v>3</v>
      </c>
      <c r="D40" s="265">
        <v>108230395</v>
      </c>
      <c r="E40" s="266">
        <f>IF(ISBLANK(D40),"-",$D$48/$D$45*D40)</f>
        <v>101672899.66331483</v>
      </c>
      <c r="F40" s="265">
        <v>119487084</v>
      </c>
      <c r="G40" s="267">
        <f>IF(ISBLANK(F40),"-",$D$48/$F$45*F40)</f>
        <v>100274491.44008057</v>
      </c>
    </row>
    <row r="41" spans="1:7" ht="26.25" customHeight="1" x14ac:dyDescent="0.4">
      <c r="A41" s="254" t="s">
        <v>66</v>
      </c>
      <c r="B41" s="255">
        <v>1</v>
      </c>
      <c r="C41" s="268">
        <v>4</v>
      </c>
      <c r="D41" s="269"/>
      <c r="E41" s="270" t="str">
        <f>IF(ISBLANK(D41),"-",$D$48/$D$45*D41)</f>
        <v>-</v>
      </c>
      <c r="F41" s="269"/>
      <c r="G41" s="271" t="str">
        <f>IF(ISBLANK(F41),"-",$D$48/$F$45*F41)</f>
        <v>-</v>
      </c>
    </row>
    <row r="42" spans="1:7" ht="27" customHeight="1" x14ac:dyDescent="0.4">
      <c r="A42" s="254" t="s">
        <v>67</v>
      </c>
      <c r="B42" s="255">
        <v>1</v>
      </c>
      <c r="C42" s="272" t="s">
        <v>68</v>
      </c>
      <c r="D42" s="273">
        <f>AVERAGE(D38:D41)</f>
        <v>108294963.33333333</v>
      </c>
      <c r="E42" s="274">
        <f>AVERAGE(E38:E41)</f>
        <v>101733555.91127944</v>
      </c>
      <c r="F42" s="273">
        <f>AVERAGE(F38:F41)</f>
        <v>119625080.33333333</v>
      </c>
      <c r="G42" s="275">
        <f>AVERAGE(G38:G41)</f>
        <v>100390299.03770842</v>
      </c>
    </row>
    <row r="43" spans="1:7" ht="26.25" customHeight="1" x14ac:dyDescent="0.4">
      <c r="A43" s="254" t="s">
        <v>69</v>
      </c>
      <c r="B43" s="255">
        <v>1</v>
      </c>
      <c r="C43" s="276" t="s">
        <v>110</v>
      </c>
      <c r="D43" s="277">
        <v>10.72</v>
      </c>
      <c r="E43" s="278"/>
      <c r="F43" s="361">
        <v>12</v>
      </c>
      <c r="G43" s="231"/>
    </row>
    <row r="44" spans="1:7" ht="26.25" customHeight="1" x14ac:dyDescent="0.4">
      <c r="A44" s="254" t="s">
        <v>71</v>
      </c>
      <c r="B44" s="255">
        <v>1</v>
      </c>
      <c r="C44" s="279" t="s">
        <v>111</v>
      </c>
      <c r="D44" s="280">
        <f>D43*$B$34</f>
        <v>10.72</v>
      </c>
      <c r="E44" s="281"/>
      <c r="F44" s="280">
        <f>F43*$B$34</f>
        <v>12</v>
      </c>
      <c r="G44" s="231"/>
    </row>
    <row r="45" spans="1:7" ht="19.5" customHeight="1" x14ac:dyDescent="0.3">
      <c r="A45" s="254" t="s">
        <v>73</v>
      </c>
      <c r="B45" s="282">
        <f>(B44/B43)*(B42/B41)*(B40/B39)*(B38/B37)*B36</f>
        <v>100</v>
      </c>
      <c r="C45" s="279" t="s">
        <v>74</v>
      </c>
      <c r="D45" s="283">
        <f>D44*$B$30/100</f>
        <v>10.644960000000001</v>
      </c>
      <c r="E45" s="284"/>
      <c r="F45" s="283">
        <f>F44*$B$30/100</f>
        <v>11.915999999999999</v>
      </c>
      <c r="G45" s="231"/>
    </row>
    <row r="46" spans="1:7" ht="19.5" customHeight="1" x14ac:dyDescent="0.3">
      <c r="A46" s="435" t="s">
        <v>75</v>
      </c>
      <c r="B46" s="436"/>
      <c r="C46" s="279" t="s">
        <v>76</v>
      </c>
      <c r="D46" s="280">
        <f>D45/$B$45</f>
        <v>0.10644960000000001</v>
      </c>
      <c r="E46" s="284"/>
      <c r="F46" s="285">
        <f>F45/$B$45</f>
        <v>0.11915999999999999</v>
      </c>
      <c r="G46" s="231"/>
    </row>
    <row r="47" spans="1:7" ht="27" customHeight="1" x14ac:dyDescent="0.4">
      <c r="A47" s="437"/>
      <c r="B47" s="438"/>
      <c r="C47" s="286" t="s">
        <v>124</v>
      </c>
      <c r="D47" s="287">
        <v>0.1</v>
      </c>
      <c r="E47" s="231"/>
      <c r="F47" s="288"/>
      <c r="G47" s="231"/>
    </row>
    <row r="48" spans="1:7" ht="18.75" customHeight="1" x14ac:dyDescent="0.3">
      <c r="A48" s="231"/>
      <c r="B48" s="231"/>
      <c r="C48" s="289" t="s">
        <v>78</v>
      </c>
      <c r="D48" s="283">
        <f>D47*$B$45</f>
        <v>10</v>
      </c>
      <c r="E48" s="231"/>
      <c r="F48" s="288"/>
      <c r="G48" s="231"/>
    </row>
    <row r="49" spans="1:7" ht="19.5" customHeight="1" x14ac:dyDescent="0.3">
      <c r="A49" s="231"/>
      <c r="B49" s="231"/>
      <c r="C49" s="290" t="s">
        <v>79</v>
      </c>
      <c r="D49" s="291">
        <f>D48/B34</f>
        <v>10</v>
      </c>
      <c r="E49" s="231"/>
      <c r="F49" s="288"/>
      <c r="G49" s="231"/>
    </row>
    <row r="50" spans="1:7" ht="18.75" customHeight="1" x14ac:dyDescent="0.3">
      <c r="A50" s="231"/>
      <c r="B50" s="231"/>
      <c r="C50" s="252" t="s">
        <v>80</v>
      </c>
      <c r="D50" s="292">
        <f>AVERAGE(E38:E41,G38:G41)</f>
        <v>101061927.47449392</v>
      </c>
      <c r="E50" s="231"/>
      <c r="F50" s="293"/>
      <c r="G50" s="231"/>
    </row>
    <row r="51" spans="1:7" ht="18.75" customHeight="1" x14ac:dyDescent="0.3">
      <c r="A51" s="231"/>
      <c r="B51" s="231"/>
      <c r="C51" s="254" t="s">
        <v>81</v>
      </c>
      <c r="D51" s="294">
        <f>STDEV(E38:E41,G38:G41)/D50</f>
        <v>7.3317949558670331E-3</v>
      </c>
      <c r="E51" s="231"/>
      <c r="F51" s="293"/>
      <c r="G51" s="231"/>
    </row>
    <row r="52" spans="1:7" ht="19.5" customHeight="1" x14ac:dyDescent="0.3">
      <c r="A52" s="231"/>
      <c r="B52" s="231"/>
      <c r="C52" s="295" t="s">
        <v>20</v>
      </c>
      <c r="D52" s="296">
        <f>COUNT(E38:E41,G38:G41)</f>
        <v>6</v>
      </c>
      <c r="E52" s="231"/>
      <c r="F52" s="293"/>
      <c r="G52" s="231"/>
    </row>
    <row r="53" spans="1:7" ht="18.75" customHeight="1" x14ac:dyDescent="0.3">
      <c r="A53" s="231"/>
      <c r="B53" s="231"/>
      <c r="C53" s="231"/>
      <c r="D53" s="231"/>
      <c r="E53" s="231"/>
      <c r="F53" s="231"/>
      <c r="G53" s="231"/>
    </row>
    <row r="54" spans="1:7" ht="18.75" customHeight="1" x14ac:dyDescent="0.3">
      <c r="A54" s="232" t="s">
        <v>1</v>
      </c>
      <c r="B54" s="297" t="s">
        <v>82</v>
      </c>
      <c r="C54" s="231"/>
      <c r="D54" s="231"/>
      <c r="E54" s="231"/>
      <c r="F54" s="231"/>
      <c r="G54" s="231"/>
    </row>
    <row r="55" spans="1:7" ht="18.75" customHeight="1" x14ac:dyDescent="0.3">
      <c r="A55" s="231" t="s">
        <v>83</v>
      </c>
      <c r="B55" s="298" t="str">
        <f>B21</f>
        <v>Glimepiride USP 3 mg</v>
      </c>
      <c r="C55" s="231"/>
      <c r="D55" s="231"/>
      <c r="E55" s="231"/>
      <c r="F55" s="231"/>
      <c r="G55" s="231"/>
    </row>
    <row r="56" spans="1:7" ht="26.25" customHeight="1" x14ac:dyDescent="0.4">
      <c r="A56" s="299" t="s">
        <v>84</v>
      </c>
      <c r="B56" s="300">
        <v>3</v>
      </c>
      <c r="C56" s="231" t="str">
        <f>B20</f>
        <v xml:space="preserve">Glimepiride   </v>
      </c>
      <c r="D56" s="231"/>
      <c r="E56" s="231"/>
      <c r="F56" s="231"/>
      <c r="G56" s="231"/>
    </row>
    <row r="57" spans="1:7" ht="17.25" customHeight="1" x14ac:dyDescent="0.3">
      <c r="A57" s="301" t="s">
        <v>85</v>
      </c>
      <c r="B57" s="301">
        <f>Uniformity!C46</f>
        <v>170.041</v>
      </c>
      <c r="C57" s="301"/>
      <c r="D57" s="302"/>
      <c r="E57" s="302"/>
      <c r="F57" s="302"/>
      <c r="G57" s="302"/>
    </row>
    <row r="58" spans="1:7" ht="57.75" customHeight="1" x14ac:dyDescent="0.4">
      <c r="A58" s="252" t="s">
        <v>125</v>
      </c>
      <c r="B58" s="253">
        <v>25</v>
      </c>
      <c r="C58" s="303" t="s">
        <v>126</v>
      </c>
      <c r="D58" s="304" t="s">
        <v>127</v>
      </c>
      <c r="E58" s="305" t="s">
        <v>128</v>
      </c>
      <c r="F58" s="306" t="s">
        <v>129</v>
      </c>
      <c r="G58" s="307" t="s">
        <v>130</v>
      </c>
    </row>
    <row r="59" spans="1:7" ht="26.25" customHeight="1" x14ac:dyDescent="0.4">
      <c r="A59" s="254" t="s">
        <v>58</v>
      </c>
      <c r="B59" s="255">
        <v>1</v>
      </c>
      <c r="C59" s="308">
        <v>1</v>
      </c>
      <c r="D59" s="309">
        <v>115446819</v>
      </c>
      <c r="E59" s="310">
        <f t="shared" ref="E59:E68" si="0">IF(ISBLANK(D59),"-",D59/$D$50*$D$47*$B$67)</f>
        <v>2.8558434883684698</v>
      </c>
      <c r="F59" s="311">
        <f t="shared" ref="F59:F68" si="1">IF(ISBLANK(D59),"-",E59/$E$70*100)</f>
        <v>98.355304311445309</v>
      </c>
      <c r="G59" s="312">
        <f t="shared" ref="G59:G68" si="2">IF(ISBLANK(D59),"-",E59/$B$56*100)</f>
        <v>95.194782945615657</v>
      </c>
    </row>
    <row r="60" spans="1:7" ht="26.25" customHeight="1" x14ac:dyDescent="0.4">
      <c r="A60" s="254" t="s">
        <v>63</v>
      </c>
      <c r="B60" s="255">
        <v>1</v>
      </c>
      <c r="C60" s="313">
        <v>2</v>
      </c>
      <c r="D60" s="314">
        <v>115874523</v>
      </c>
      <c r="E60" s="315">
        <f t="shared" si="0"/>
        <v>2.866423733834992</v>
      </c>
      <c r="F60" s="316">
        <f t="shared" si="1"/>
        <v>98.71968816748921</v>
      </c>
      <c r="G60" s="317">
        <f t="shared" si="2"/>
        <v>95.547457794499735</v>
      </c>
    </row>
    <row r="61" spans="1:7" ht="26.25" customHeight="1" x14ac:dyDescent="0.4">
      <c r="A61" s="254" t="s">
        <v>64</v>
      </c>
      <c r="B61" s="255">
        <v>1</v>
      </c>
      <c r="C61" s="313">
        <v>3</v>
      </c>
      <c r="D61" s="314">
        <v>118125417</v>
      </c>
      <c r="E61" s="315">
        <f t="shared" si="0"/>
        <v>2.922104791386761</v>
      </c>
      <c r="F61" s="316">
        <f t="shared" si="1"/>
        <v>100.63734485357605</v>
      </c>
      <c r="G61" s="317">
        <f t="shared" si="2"/>
        <v>97.403493046225364</v>
      </c>
    </row>
    <row r="62" spans="1:7" ht="26.25" customHeight="1" x14ac:dyDescent="0.4">
      <c r="A62" s="254" t="s">
        <v>65</v>
      </c>
      <c r="B62" s="255">
        <v>1</v>
      </c>
      <c r="C62" s="313">
        <v>4</v>
      </c>
      <c r="D62" s="314">
        <v>117589801</v>
      </c>
      <c r="E62" s="315">
        <f t="shared" si="0"/>
        <v>2.9088550935681834</v>
      </c>
      <c r="F62" s="316">
        <f t="shared" si="1"/>
        <v>100.18102500751705</v>
      </c>
      <c r="G62" s="317">
        <f t="shared" si="2"/>
        <v>96.961836452272777</v>
      </c>
    </row>
    <row r="63" spans="1:7" ht="26.25" customHeight="1" x14ac:dyDescent="0.4">
      <c r="A63" s="254" t="s">
        <v>66</v>
      </c>
      <c r="B63" s="255">
        <v>1</v>
      </c>
      <c r="C63" s="313">
        <v>5</v>
      </c>
      <c r="D63" s="314">
        <v>115004618</v>
      </c>
      <c r="E63" s="315">
        <f t="shared" si="0"/>
        <v>2.8449046261517461</v>
      </c>
      <c r="F63" s="316">
        <f t="shared" si="1"/>
        <v>97.978569687671694</v>
      </c>
      <c r="G63" s="317">
        <f t="shared" si="2"/>
        <v>94.830154205058207</v>
      </c>
    </row>
    <row r="64" spans="1:7" ht="26.25" customHeight="1" x14ac:dyDescent="0.4">
      <c r="A64" s="254" t="s">
        <v>67</v>
      </c>
      <c r="B64" s="255">
        <v>1</v>
      </c>
      <c r="C64" s="313">
        <v>6</v>
      </c>
      <c r="D64" s="314">
        <v>114722804</v>
      </c>
      <c r="E64" s="315">
        <f t="shared" si="0"/>
        <v>2.8379333065103531</v>
      </c>
      <c r="F64" s="316">
        <f t="shared" si="1"/>
        <v>97.738477306007837</v>
      </c>
      <c r="G64" s="317">
        <f t="shared" si="2"/>
        <v>94.597776883678435</v>
      </c>
    </row>
    <row r="65" spans="1:7" ht="26.25" customHeight="1" x14ac:dyDescent="0.4">
      <c r="A65" s="254" t="s">
        <v>69</v>
      </c>
      <c r="B65" s="255">
        <v>1</v>
      </c>
      <c r="C65" s="313">
        <v>7</v>
      </c>
      <c r="D65" s="314">
        <v>116111663</v>
      </c>
      <c r="E65" s="315">
        <f t="shared" si="0"/>
        <v>2.8722899389907326</v>
      </c>
      <c r="F65" s="316">
        <f t="shared" si="1"/>
        <v>98.921720385149655</v>
      </c>
      <c r="G65" s="317">
        <f t="shared" si="2"/>
        <v>95.742997966357763</v>
      </c>
    </row>
    <row r="66" spans="1:7" ht="26.25" customHeight="1" x14ac:dyDescent="0.4">
      <c r="A66" s="254" t="s">
        <v>71</v>
      </c>
      <c r="B66" s="255">
        <v>1</v>
      </c>
      <c r="C66" s="313">
        <v>8</v>
      </c>
      <c r="D66" s="314">
        <v>120754133</v>
      </c>
      <c r="E66" s="315">
        <f t="shared" si="0"/>
        <v>2.9871321480207276</v>
      </c>
      <c r="F66" s="316">
        <f t="shared" si="1"/>
        <v>102.87688825865129</v>
      </c>
      <c r="G66" s="317">
        <f t="shared" si="2"/>
        <v>99.571071600690914</v>
      </c>
    </row>
    <row r="67" spans="1:7" ht="27" customHeight="1" x14ac:dyDescent="0.4">
      <c r="A67" s="254" t="s">
        <v>73</v>
      </c>
      <c r="B67" s="282">
        <f>(B66/B65)*(B64/B63)*(B62/B61)*(B60/B59)*B58</f>
        <v>25</v>
      </c>
      <c r="C67" s="313">
        <v>9</v>
      </c>
      <c r="D67" s="314">
        <v>121903023</v>
      </c>
      <c r="E67" s="315">
        <f t="shared" si="0"/>
        <v>3.0155525935017908</v>
      </c>
      <c r="F67" s="316">
        <f t="shared" si="1"/>
        <v>103.85568894410262</v>
      </c>
      <c r="G67" s="317">
        <f t="shared" si="2"/>
        <v>100.51841978339301</v>
      </c>
    </row>
    <row r="68" spans="1:7" ht="27" customHeight="1" x14ac:dyDescent="0.4">
      <c r="A68" s="435" t="s">
        <v>75</v>
      </c>
      <c r="B68" s="449"/>
      <c r="C68" s="318">
        <v>10</v>
      </c>
      <c r="D68" s="319">
        <v>118240386</v>
      </c>
      <c r="E68" s="320">
        <f t="shared" si="0"/>
        <v>2.9249488149194858</v>
      </c>
      <c r="F68" s="321">
        <f t="shared" si="1"/>
        <v>100.73529307838926</v>
      </c>
      <c r="G68" s="322">
        <f t="shared" si="2"/>
        <v>97.49829383064953</v>
      </c>
    </row>
    <row r="69" spans="1:7" ht="19.5" customHeight="1" x14ac:dyDescent="0.3">
      <c r="A69" s="437"/>
      <c r="B69" s="450"/>
      <c r="C69" s="313"/>
      <c r="D69" s="284"/>
      <c r="E69" s="323"/>
      <c r="F69" s="302"/>
      <c r="G69" s="324"/>
    </row>
    <row r="70" spans="1:7" ht="26.25" customHeight="1" x14ac:dyDescent="0.4">
      <c r="A70" s="302"/>
      <c r="B70" s="302"/>
      <c r="C70" s="325" t="s">
        <v>131</v>
      </c>
      <c r="D70" s="326"/>
      <c r="E70" s="327">
        <f>AVERAGE(E59:E68)</f>
        <v>2.9035988535253243</v>
      </c>
      <c r="F70" s="327">
        <f>AVERAGE(F59:F68)</f>
        <v>100.00000000000001</v>
      </c>
      <c r="G70" s="328">
        <f>AVERAGE(G59:G68)</f>
        <v>96.786628450844134</v>
      </c>
    </row>
    <row r="71" spans="1:7" ht="26.25" customHeight="1" x14ac:dyDescent="0.4">
      <c r="A71" s="302"/>
      <c r="B71" s="302"/>
      <c r="C71" s="325"/>
      <c r="D71" s="326"/>
      <c r="E71" s="329">
        <f>STDEV(E59:E68)/E70</f>
        <v>2.077124945168066E-2</v>
      </c>
      <c r="F71" s="329">
        <f>STDEV(F59:F68)/F70</f>
        <v>2.0771249451680684E-2</v>
      </c>
      <c r="G71" s="330">
        <f>STDEV(G59:G68)/G70</f>
        <v>2.0771249451680622E-2</v>
      </c>
    </row>
    <row r="72" spans="1:7" ht="27" customHeight="1" x14ac:dyDescent="0.4">
      <c r="A72" s="302"/>
      <c r="B72" s="302"/>
      <c r="C72" s="331"/>
      <c r="D72" s="332"/>
      <c r="E72" s="333">
        <f>COUNT(E59:E68)</f>
        <v>10</v>
      </c>
      <c r="F72" s="333">
        <f>COUNT(F59:F68)</f>
        <v>10</v>
      </c>
      <c r="G72" s="334">
        <f>COUNT(G59:G68)</f>
        <v>10</v>
      </c>
    </row>
    <row r="73" spans="1:7" ht="18.75" customHeight="1" x14ac:dyDescent="0.3">
      <c r="A73" s="302"/>
      <c r="B73" s="335"/>
      <c r="C73" s="335"/>
      <c r="D73" s="281"/>
      <c r="E73" s="326"/>
      <c r="F73" s="278"/>
      <c r="G73" s="336"/>
    </row>
    <row r="74" spans="1:7" ht="18.75" customHeight="1" x14ac:dyDescent="0.3">
      <c r="A74" s="241" t="s">
        <v>132</v>
      </c>
      <c r="B74" s="337" t="s">
        <v>104</v>
      </c>
      <c r="C74" s="447" t="str">
        <f>B20</f>
        <v xml:space="preserve">Glimepiride   </v>
      </c>
      <c r="D74" s="447"/>
      <c r="E74" s="338" t="s">
        <v>105</v>
      </c>
      <c r="F74" s="338"/>
      <c r="G74" s="339">
        <f>G70</f>
        <v>96.786628450844134</v>
      </c>
    </row>
    <row r="75" spans="1:7" ht="18.75" customHeight="1" x14ac:dyDescent="0.3">
      <c r="A75" s="241"/>
      <c r="B75" s="337"/>
      <c r="C75" s="340"/>
      <c r="D75" s="340"/>
      <c r="E75" s="338"/>
      <c r="F75" s="338"/>
      <c r="G75" s="341"/>
    </row>
    <row r="76" spans="1:7" ht="18.75" customHeight="1" x14ac:dyDescent="0.3">
      <c r="A76" s="232" t="s">
        <v>1</v>
      </c>
      <c r="B76" s="342" t="s">
        <v>133</v>
      </c>
      <c r="C76" s="231"/>
      <c r="D76" s="231"/>
      <c r="E76" s="231"/>
      <c r="F76" s="231"/>
      <c r="G76" s="302"/>
    </row>
    <row r="77" spans="1:7" ht="18.75" customHeight="1" x14ac:dyDescent="0.3">
      <c r="A77" s="232"/>
      <c r="B77" s="297"/>
      <c r="C77" s="231"/>
      <c r="D77" s="231"/>
      <c r="E77" s="231"/>
      <c r="F77" s="231"/>
      <c r="G77" s="302"/>
    </row>
    <row r="78" spans="1:7" ht="18.75" customHeight="1" x14ac:dyDescent="0.3">
      <c r="A78" s="302"/>
      <c r="B78" s="456" t="s">
        <v>134</v>
      </c>
      <c r="C78" s="457"/>
      <c r="D78" s="231"/>
      <c r="E78" s="302"/>
      <c r="F78" s="302"/>
      <c r="G78" s="302"/>
    </row>
    <row r="79" spans="1:7" ht="18.75" customHeight="1" x14ac:dyDescent="0.3">
      <c r="A79" s="302"/>
      <c r="B79" s="343" t="s">
        <v>40</v>
      </c>
      <c r="C79" s="344">
        <f>G70</f>
        <v>96.786628450844134</v>
      </c>
      <c r="D79" s="231"/>
      <c r="E79" s="302"/>
      <c r="F79" s="302"/>
      <c r="G79" s="302"/>
    </row>
    <row r="80" spans="1:7" ht="26.25" customHeight="1" x14ac:dyDescent="0.4">
      <c r="A80" s="302"/>
      <c r="B80" s="343" t="s">
        <v>135</v>
      </c>
      <c r="C80" s="345">
        <v>2.4</v>
      </c>
      <c r="D80" s="231"/>
      <c r="E80" s="302"/>
      <c r="F80" s="302"/>
      <c r="G80" s="302"/>
    </row>
    <row r="81" spans="1:7" ht="18.75" customHeight="1" x14ac:dyDescent="0.3">
      <c r="A81" s="302"/>
      <c r="B81" s="343" t="s">
        <v>136</v>
      </c>
      <c r="C81" s="344">
        <f>STDEV(G59:G68)</f>
        <v>2.0103792031396122</v>
      </c>
      <c r="D81" s="231"/>
      <c r="E81" s="302"/>
      <c r="F81" s="302"/>
      <c r="G81" s="302"/>
    </row>
    <row r="82" spans="1:7" ht="18.75" customHeight="1" x14ac:dyDescent="0.3">
      <c r="A82" s="302"/>
      <c r="B82" s="343" t="s">
        <v>137</v>
      </c>
      <c r="C82" s="344">
        <f>IF(OR(G70&lt;98.5,G70&gt;101.5),(IF(98.5&gt;G70,98.5,101.5)),C79)</f>
        <v>98.5</v>
      </c>
      <c r="D82" s="231"/>
      <c r="E82" s="302"/>
      <c r="F82" s="302"/>
      <c r="G82" s="302"/>
    </row>
    <row r="83" spans="1:7" ht="18.75" customHeight="1" x14ac:dyDescent="0.3">
      <c r="A83" s="302"/>
      <c r="B83" s="343" t="s">
        <v>138</v>
      </c>
      <c r="C83" s="346">
        <f>ABS(C82-C79)+(C80*C81)</f>
        <v>6.5382816366909351</v>
      </c>
      <c r="D83" s="231"/>
      <c r="E83" s="302"/>
      <c r="F83" s="302"/>
      <c r="G83" s="302"/>
    </row>
    <row r="84" spans="1:7" ht="18.75" customHeight="1" x14ac:dyDescent="0.3">
      <c r="A84" s="299"/>
      <c r="B84" s="347"/>
      <c r="C84" s="231"/>
      <c r="D84" s="231"/>
      <c r="E84" s="231"/>
      <c r="F84" s="231"/>
      <c r="G84" s="231"/>
    </row>
    <row r="85" spans="1:7" ht="18.75" customHeight="1" x14ac:dyDescent="0.3">
      <c r="A85" s="231"/>
      <c r="B85" s="448" t="s">
        <v>23</v>
      </c>
      <c r="C85" s="448"/>
      <c r="D85" s="231"/>
      <c r="E85" s="351" t="s">
        <v>24</v>
      </c>
      <c r="F85" s="352"/>
      <c r="G85" s="359" t="s">
        <v>25</v>
      </c>
    </row>
    <row r="86" spans="1:7" ht="60" customHeight="1" x14ac:dyDescent="0.3">
      <c r="A86" s="353" t="s">
        <v>26</v>
      </c>
      <c r="B86" s="354"/>
      <c r="C86" s="406" t="s">
        <v>148</v>
      </c>
      <c r="D86" s="231"/>
      <c r="E86" s="406" t="s">
        <v>149</v>
      </c>
      <c r="F86" s="335"/>
      <c r="G86" s="355"/>
    </row>
    <row r="87" spans="1:7" ht="60" customHeight="1" x14ac:dyDescent="0.3">
      <c r="A87" s="353" t="s">
        <v>27</v>
      </c>
      <c r="B87" s="356"/>
      <c r="C87" s="356"/>
      <c r="D87" s="231"/>
      <c r="E87" s="356"/>
      <c r="F87" s="335"/>
      <c r="G87" s="357"/>
    </row>
    <row r="204" spans="1:1" x14ac:dyDescent="0.2">
      <c r="A204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17">
    <mergeCell ref="A1:G7"/>
    <mergeCell ref="A8:G14"/>
    <mergeCell ref="B85:C85"/>
    <mergeCell ref="A68:B69"/>
    <mergeCell ref="C74:D74"/>
    <mergeCell ref="B78:C78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1" priority="1" operator="greaterThan">
      <formula>0.02</formula>
    </cfRule>
  </conditionalFormatting>
  <conditionalFormatting sqref="C83">
    <cfRule type="cellIs" dxfId="0" priority="2" operator="greaterThan">
      <formula>15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Uniformity</vt:lpstr>
      <vt:lpstr>Glimepiride 1</vt:lpstr>
      <vt:lpstr>Glimepiride 2</vt:lpstr>
      <vt:lpstr>'Glimepiride 1'!Print_Area</vt:lpstr>
      <vt:lpstr>'Glimepiride 2'!Print_Area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2016-01-18T07:06:33Z</cp:lastPrinted>
  <dcterms:created xsi:type="dcterms:W3CDTF">2005-07-05T10:19:27Z</dcterms:created>
  <dcterms:modified xsi:type="dcterms:W3CDTF">2016-02-02T12:06:09Z</dcterms:modified>
</cp:coreProperties>
</file>