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SST" sheetId="1" r:id="rId1"/>
    <sheet name="Uniformity" sheetId="2" r:id="rId2"/>
    <sheet name="Praziquantel" sheetId="3" r:id="rId3"/>
  </sheets>
  <definedNames>
    <definedName name="_xlnm.Print_Area" localSheetId="1">Uniformity!$A$1:$G$60</definedName>
  </definedNames>
  <calcPr calcId="144525"/>
</workbook>
</file>

<file path=xl/calcChain.xml><?xml version="1.0" encoding="utf-8"?>
<calcChain xmlns="http://schemas.openxmlformats.org/spreadsheetml/2006/main">
  <c r="B31" i="1" l="1"/>
  <c r="G40" i="3" l="1"/>
  <c r="E38" i="3"/>
  <c r="B30" i="3"/>
  <c r="B20" i="1"/>
  <c r="B19" i="1"/>
  <c r="B18" i="1"/>
  <c r="C19" i="2"/>
  <c r="C18" i="2"/>
  <c r="B87" i="3"/>
  <c r="B34" i="3"/>
  <c r="B116" i="3"/>
  <c r="B69" i="3"/>
  <c r="B45" i="3"/>
  <c r="C120" i="3"/>
  <c r="D100" i="3"/>
  <c r="B98" i="3"/>
  <c r="F95" i="3"/>
  <c r="D95" i="3"/>
  <c r="F97" i="3"/>
  <c r="B81" i="3"/>
  <c r="B83" i="3" s="1"/>
  <c r="B80" i="3"/>
  <c r="B79" i="3"/>
  <c r="C76" i="3"/>
  <c r="B68" i="3"/>
  <c r="B57" i="3"/>
  <c r="C56" i="3"/>
  <c r="B55" i="3"/>
  <c r="D48" i="3"/>
  <c r="F42" i="3"/>
  <c r="D42" i="3"/>
  <c r="D44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4" i="2"/>
  <c r="B53" i="1"/>
  <c r="E51" i="1"/>
  <c r="D51" i="1"/>
  <c r="C51" i="1"/>
  <c r="B51" i="1"/>
  <c r="B52" i="1" s="1"/>
  <c r="B32" i="1"/>
  <c r="E30" i="1"/>
  <c r="D30" i="1"/>
  <c r="C30" i="1"/>
  <c r="B30" i="1"/>
  <c r="I92" i="3" l="1"/>
  <c r="I39" i="3"/>
  <c r="D101" i="3"/>
  <c r="D45" i="3"/>
  <c r="D49" i="3"/>
  <c r="F98" i="3"/>
  <c r="G91" i="3" s="1"/>
  <c r="F44" i="3"/>
  <c r="F45" i="3" s="1"/>
  <c r="G38" i="3" s="1"/>
  <c r="D97" i="3"/>
  <c r="D98" i="3" s="1"/>
  <c r="E91" i="3" s="1"/>
  <c r="D25" i="2"/>
  <c r="D29" i="2"/>
  <c r="D33" i="2"/>
  <c r="D37" i="2"/>
  <c r="D41" i="2"/>
  <c r="C50" i="2"/>
  <c r="D26" i="2"/>
  <c r="D30" i="2"/>
  <c r="D34" i="2"/>
  <c r="D38" i="2"/>
  <c r="D42" i="2"/>
  <c r="B49" i="2"/>
  <c r="E92" i="3" l="1"/>
  <c r="F99" i="3"/>
  <c r="D99" i="3"/>
  <c r="D102" i="3"/>
  <c r="F46" i="3"/>
  <c r="D46" i="3"/>
  <c r="B21" i="1" s="1"/>
  <c r="E40" i="3"/>
  <c r="E39" i="3"/>
  <c r="E41" i="3"/>
  <c r="G41" i="3"/>
  <c r="G94" i="3"/>
  <c r="G93" i="3"/>
  <c r="G92" i="3"/>
  <c r="G39" i="3"/>
  <c r="E94" i="3"/>
  <c r="E93" i="3"/>
  <c r="G95" i="3" l="1"/>
  <c r="E42" i="3"/>
  <c r="G42" i="3"/>
  <c r="D50" i="3"/>
  <c r="D52" i="3"/>
  <c r="E95" i="3"/>
  <c r="D105" i="3"/>
  <c r="D103" i="3"/>
  <c r="E108" i="3" s="1"/>
  <c r="G66" i="3" l="1"/>
  <c r="H66" i="3" s="1"/>
  <c r="G64" i="3"/>
  <c r="H64" i="3" s="1"/>
  <c r="G70" i="3"/>
  <c r="H70" i="3" s="1"/>
  <c r="D51" i="3"/>
  <c r="G65" i="3"/>
  <c r="H65" i="3" s="1"/>
  <c r="G61" i="3"/>
  <c r="H61" i="3" s="1"/>
  <c r="G60" i="3"/>
  <c r="H60" i="3" s="1"/>
  <c r="G62" i="3"/>
  <c r="H62" i="3" s="1"/>
  <c r="G68" i="3"/>
  <c r="H68" i="3" s="1"/>
  <c r="G69" i="3"/>
  <c r="H69" i="3" s="1"/>
  <c r="E112" i="3"/>
  <c r="F112" i="3" s="1"/>
  <c r="E110" i="3"/>
  <c r="F110" i="3" s="1"/>
  <c r="E113" i="3"/>
  <c r="F113" i="3" s="1"/>
  <c r="E111" i="3"/>
  <c r="F111" i="3" s="1"/>
  <c r="E109" i="3"/>
  <c r="F109" i="3" s="1"/>
  <c r="D104" i="3"/>
  <c r="G72" i="3" l="1"/>
  <c r="G73" i="3" s="1"/>
  <c r="G74" i="3"/>
  <c r="H74" i="3"/>
  <c r="H72" i="3"/>
  <c r="G76" i="3" s="1"/>
  <c r="E115" i="3"/>
  <c r="E116" i="3" s="1"/>
  <c r="E117" i="3"/>
  <c r="F108" i="3"/>
  <c r="H73" i="3" l="1"/>
  <c r="F117" i="3"/>
  <c r="F115" i="3"/>
  <c r="G120" i="3" l="1"/>
  <c r="F116" i="3"/>
</calcChain>
</file>

<file path=xl/sharedStrings.xml><?xml version="1.0" encoding="utf-8"?>
<sst xmlns="http://schemas.openxmlformats.org/spreadsheetml/2006/main" count="237" uniqueCount="130">
  <si>
    <t>HPLC System Suitability Report</t>
  </si>
  <si>
    <t>Analysis Data</t>
  </si>
  <si>
    <t>Assay</t>
  </si>
  <si>
    <t>Sample(s)</t>
  </si>
  <si>
    <t>Reference Substance:</t>
  </si>
  <si>
    <t>Praziquantel - 600</t>
  </si>
  <si>
    <t>% age Purity:</t>
  </si>
  <si>
    <t>NDQD201509259</t>
  </si>
  <si>
    <t>Weight (mg):</t>
  </si>
  <si>
    <t>Praziquntel</t>
  </si>
  <si>
    <t>Standard Conc (mg/mL):</t>
  </si>
  <si>
    <t>Each film coated tablet contains:
Praziquantel USP 600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</si>
  <si>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</si>
  <si>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</si>
  <si>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</si>
  <si>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</si>
  <si>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</si>
  <si>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</si>
  <si>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</si>
  <si>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</si>
  <si>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</si>
  <si>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</si>
  <si>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</si>
  <si>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</si>
  <si>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</si>
  <si>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</si>
  <si>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</si>
  <si>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</si>
  <si>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</si>
  <si>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</si>
  <si>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</si>
  <si>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</si>
  <si>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</si>
  <si>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</si>
  <si>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</si>
  <si>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</si>
  <si>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</si>
  <si>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</si>
  <si>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</si>
  <si>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</si>
  <si>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</si>
  <si>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</si>
  <si>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</si>
  <si>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</si>
  <si>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</si>
  <si>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</si>
  <si>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</si>
  <si>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</si>
  <si>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</si>
  <si>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</si>
  <si>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</si>
  <si>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</si>
  <si>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</si>
  <si>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</si>
  <si>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</si>
  <si>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</si>
  <si>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</si>
  <si>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</si>
  <si>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</si>
  <si>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</si>
  <si>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</si>
  <si>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</si>
  <si>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</si>
  <si>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</si>
  <si>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</si>
  <si>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</si>
  <si>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</si>
  <si>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</si>
  <si>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</si>
  <si>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</si>
  <si>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</si>
  <si>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</si>
  <si>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</si>
  <si>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</si>
  <si>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</si>
  <si>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</si>
  <si>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</si>
  <si>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</si>
  <si>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</si>
  <si>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</si>
  <si>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</si>
  <si>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</si>
  <si>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</si>
  <si>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</si>
  <si>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</si>
  <si>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</si>
  <si>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</si>
  <si>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</si>
  <si>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</si>
  <si>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</si>
  <si>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</si>
  <si>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</si>
  <si>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</si>
  <si>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</si>
  <si>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</si>
  <si>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</si>
  <si>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</si>
  <si>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</si>
  <si>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</si>
  <si>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</si>
  <si>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</si>
  <si>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</si>
  <si>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</si>
  <si>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</si>
  <si>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</si>
  <si>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</si>
  <si>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</si>
  <si>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</si>
  <si>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</si>
  <si>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</si>
  <si>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</si>
  <si>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</si>
  <si>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</si>
  <si>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</si>
  <si>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</si>
  <si>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</si>
  <si>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</si>
  <si>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</si>
  <si>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</si>
  <si>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</si>
  <si>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</si>
  <si>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</si>
  <si>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</si>
  <si>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</si>
  <si>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Praziquantel</t>
  </si>
  <si>
    <t>WRS/P6-4</t>
  </si>
  <si>
    <t>16TH Feb 2016</t>
  </si>
  <si>
    <t>22nd Feb 2016</t>
  </si>
  <si>
    <t>Joyfrida</t>
  </si>
  <si>
    <t>22nd Dec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</si>
</sst>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2" fontId="13" fillId="3" borderId="41" xfId="0" applyNumberFormat="1" applyFont="1" applyFill="1" applyBorder="1" applyAlignment="1" applyProtection="1">
      <alignment horizontal="center"/>
      <protection locked="0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16" workbookViewId="0">
      <selection activeCell="B32" sqref="B3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tr">
        <f>Praziquantel!B26</f>
        <v>Praziquantel</v>
      </c>
      <c r="C18" s="10"/>
      <c r="D18" s="10"/>
      <c r="E18" s="10"/>
    </row>
    <row r="19" spans="1:6" ht="16.5" customHeight="1" x14ac:dyDescent="0.3">
      <c r="A19" s="11" t="s">
        <v>6</v>
      </c>
      <c r="B19" s="12">
        <f>Praziquantel!B28</f>
        <v>98.9</v>
      </c>
      <c r="C19" s="10"/>
      <c r="D19" s="10"/>
      <c r="E19" s="10"/>
    </row>
    <row r="20" spans="1:6" ht="16.5" customHeight="1" x14ac:dyDescent="0.3">
      <c r="A20" s="7" t="s">
        <v>8</v>
      </c>
      <c r="B20" s="12">
        <f>Praziquantel!D43</f>
        <v>20.34</v>
      </c>
      <c r="C20" s="10"/>
      <c r="D20" s="10"/>
      <c r="E20" s="10"/>
    </row>
    <row r="21" spans="1:6" ht="16.5" customHeight="1" x14ac:dyDescent="0.3">
      <c r="A21" s="7" t="s">
        <v>10</v>
      </c>
      <c r="B21" s="13">
        <f>Praziquantel!D46</f>
        <v>0.20104056000000001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105061087</v>
      </c>
      <c r="C24" s="18">
        <v>10178.16</v>
      </c>
      <c r="D24" s="19">
        <v>1.35</v>
      </c>
      <c r="E24" s="20">
        <v>9.81</v>
      </c>
    </row>
    <row r="25" spans="1:6" ht="16.5" customHeight="1" x14ac:dyDescent="0.3">
      <c r="A25" s="17">
        <v>2</v>
      </c>
      <c r="B25" s="18">
        <v>104913646</v>
      </c>
      <c r="C25" s="18">
        <v>10269.530000000001</v>
      </c>
      <c r="D25" s="19">
        <v>1.35</v>
      </c>
      <c r="E25" s="19">
        <v>9.82</v>
      </c>
    </row>
    <row r="26" spans="1:6" ht="16.5" customHeight="1" x14ac:dyDescent="0.3">
      <c r="A26" s="17">
        <v>3</v>
      </c>
      <c r="B26" s="18">
        <v>104528186</v>
      </c>
      <c r="C26" s="18">
        <v>10245.26</v>
      </c>
      <c r="D26" s="19">
        <v>1.36</v>
      </c>
      <c r="E26" s="19">
        <v>9.83</v>
      </c>
    </row>
    <row r="27" spans="1:6" ht="16.5" customHeight="1" x14ac:dyDescent="0.3">
      <c r="A27" s="17">
        <v>4</v>
      </c>
      <c r="B27" s="18">
        <v>105328125</v>
      </c>
      <c r="C27" s="18">
        <v>10236.18</v>
      </c>
      <c r="D27" s="19">
        <v>1.35</v>
      </c>
      <c r="E27" s="19">
        <v>9.83</v>
      </c>
    </row>
    <row r="28" spans="1:6" ht="16.5" customHeight="1" x14ac:dyDescent="0.3">
      <c r="A28" s="17">
        <v>5</v>
      </c>
      <c r="B28" s="18">
        <v>105067704</v>
      </c>
      <c r="C28" s="18">
        <v>10361.11</v>
      </c>
      <c r="D28" s="19">
        <v>1.33</v>
      </c>
      <c r="E28" s="19">
        <v>9.84</v>
      </c>
    </row>
    <row r="29" spans="1:6" ht="16.5" customHeight="1" x14ac:dyDescent="0.3">
      <c r="A29" s="17">
        <v>6</v>
      </c>
      <c r="B29" s="21">
        <v>105289638</v>
      </c>
      <c r="C29" s="22">
        <v>10330</v>
      </c>
      <c r="D29" s="22">
        <v>1.34</v>
      </c>
      <c r="E29" s="22">
        <v>9.85</v>
      </c>
    </row>
    <row r="30" spans="1:6" ht="16.5" customHeight="1" x14ac:dyDescent="0.3">
      <c r="A30" s="23" t="s">
        <v>17</v>
      </c>
      <c r="B30" s="24">
        <f>AVERAGE(B24:B29)</f>
        <v>105031397.66666667</v>
      </c>
      <c r="C30" s="25">
        <f>AVERAGE(C24:C29)</f>
        <v>10270.040000000001</v>
      </c>
      <c r="D30" s="26">
        <f>AVERAGE(D24:D29)</f>
        <v>1.3466666666666667</v>
      </c>
      <c r="E30" s="26">
        <f>AVERAGE(E24:E29)</f>
        <v>9.83</v>
      </c>
    </row>
    <row r="31" spans="1:6" ht="16.5" customHeight="1" x14ac:dyDescent="0.3">
      <c r="A31" s="27" t="s">
        <v>18</v>
      </c>
      <c r="B31" s="28">
        <f>(STDEV(B24:B29)/B30)</f>
        <v>2.7726187914024775E-3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25</v>
      </c>
      <c r="C59" s="282"/>
      <c r="E59" s="45" t="s">
        <v>26</v>
      </c>
      <c r="F59" s="46"/>
      <c r="G59" s="45" t="s">
        <v>27</v>
      </c>
    </row>
    <row r="60" spans="1:7" ht="30.75" customHeight="1" x14ac:dyDescent="0.3">
      <c r="A60" s="47" t="s">
        <v>28</v>
      </c>
      <c r="B60" s="48"/>
      <c r="C60" s="48" t="s">
        <v>128</v>
      </c>
      <c r="E60" s="48" t="s">
        <v>129</v>
      </c>
      <c r="F60" s="2"/>
      <c r="G60" s="49"/>
    </row>
    <row r="61" spans="1:7" ht="33.7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G4" sqref="G4:H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30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31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32</v>
      </c>
      <c r="B14" s="290"/>
      <c r="C14" s="60" t="s">
        <v>5</v>
      </c>
    </row>
    <row r="15" spans="1:7" ht="16.5" customHeight="1" x14ac:dyDescent="0.3">
      <c r="A15" s="290" t="s">
        <v>33</v>
      </c>
      <c r="B15" s="290"/>
      <c r="C15" s="60" t="s">
        <v>7</v>
      </c>
    </row>
    <row r="16" spans="1:7" ht="16.5" customHeight="1" x14ac:dyDescent="0.3">
      <c r="A16" s="290" t="s">
        <v>34</v>
      </c>
      <c r="B16" s="290"/>
      <c r="C16" s="60" t="s">
        <v>9</v>
      </c>
    </row>
    <row r="17" spans="1:5" ht="16.5" customHeight="1" x14ac:dyDescent="0.3">
      <c r="A17" s="290" t="s">
        <v>35</v>
      </c>
      <c r="B17" s="290"/>
      <c r="C17" s="60" t="s">
        <v>11</v>
      </c>
    </row>
    <row r="18" spans="1:5" ht="16.5" customHeight="1" x14ac:dyDescent="0.3">
      <c r="A18" s="290" t="s">
        <v>36</v>
      </c>
      <c r="B18" s="290"/>
      <c r="C18" s="97" t="str">
        <f>Praziquantel!B22</f>
        <v>16TH Feb 2016</v>
      </c>
    </row>
    <row r="19" spans="1:5" ht="16.5" customHeight="1" x14ac:dyDescent="0.3">
      <c r="A19" s="290" t="s">
        <v>37</v>
      </c>
      <c r="B19" s="290"/>
      <c r="C19" s="97" t="str">
        <f>Praziquantel!B23</f>
        <v>22nd Feb 2016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38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943.01</v>
      </c>
      <c r="D24" s="87">
        <f t="shared" ref="D24:D43" si="0">(C24-$C$46)/$C$46</f>
        <v>1.4501952599700944E-2</v>
      </c>
      <c r="E24" s="53"/>
    </row>
    <row r="25" spans="1:5" ht="15.75" customHeight="1" x14ac:dyDescent="0.3">
      <c r="C25" s="95">
        <v>931.7</v>
      </c>
      <c r="D25" s="88">
        <f t="shared" si="0"/>
        <v>2.3345131410498561E-3</v>
      </c>
      <c r="E25" s="53"/>
    </row>
    <row r="26" spans="1:5" ht="15.75" customHeight="1" x14ac:dyDescent="0.3">
      <c r="C26" s="95">
        <v>893.66</v>
      </c>
      <c r="D26" s="88">
        <f t="shared" si="0"/>
        <v>-3.8589394640302095E-2</v>
      </c>
      <c r="E26" s="53"/>
    </row>
    <row r="27" spans="1:5" ht="15.75" customHeight="1" x14ac:dyDescent="0.3">
      <c r="C27" s="95">
        <v>936.52</v>
      </c>
      <c r="D27" s="88">
        <f t="shared" si="0"/>
        <v>7.5199294266995245E-3</v>
      </c>
      <c r="E27" s="53"/>
    </row>
    <row r="28" spans="1:5" ht="15.75" customHeight="1" x14ac:dyDescent="0.3">
      <c r="C28" s="95">
        <v>938.29</v>
      </c>
      <c r="D28" s="88">
        <f t="shared" si="0"/>
        <v>9.4241175647907984E-3</v>
      </c>
      <c r="E28" s="53"/>
    </row>
    <row r="29" spans="1:5" ht="15.75" customHeight="1" x14ac:dyDescent="0.3">
      <c r="C29" s="95">
        <v>920.84</v>
      </c>
      <c r="D29" s="88">
        <f t="shared" si="0"/>
        <v>-9.348810689273011E-3</v>
      </c>
      <c r="E29" s="53"/>
    </row>
    <row r="30" spans="1:5" ht="15.75" customHeight="1" x14ac:dyDescent="0.3">
      <c r="C30" s="95">
        <v>909.5</v>
      </c>
      <c r="D30" s="88">
        <f t="shared" si="0"/>
        <v>-2.1548524523146078E-2</v>
      </c>
      <c r="E30" s="53"/>
    </row>
    <row r="31" spans="1:5" ht="15.75" customHeight="1" x14ac:dyDescent="0.3">
      <c r="C31" s="95">
        <v>952.96</v>
      </c>
      <c r="D31" s="88">
        <f t="shared" si="0"/>
        <v>2.5206287048293294E-2</v>
      </c>
      <c r="E31" s="53"/>
    </row>
    <row r="32" spans="1:5" ht="15.75" customHeight="1" x14ac:dyDescent="0.3">
      <c r="C32" s="95">
        <v>930.72</v>
      </c>
      <c r="D32" s="88">
        <f t="shared" si="0"/>
        <v>1.2802168838015498E-3</v>
      </c>
      <c r="E32" s="53"/>
    </row>
    <row r="33" spans="1:7" ht="15.75" customHeight="1" x14ac:dyDescent="0.3">
      <c r="C33" s="95">
        <v>939.09</v>
      </c>
      <c r="D33" s="88">
        <f t="shared" si="0"/>
        <v>1.0284767570707841E-2</v>
      </c>
      <c r="E33" s="53"/>
    </row>
    <row r="34" spans="1:7" ht="15.75" customHeight="1" x14ac:dyDescent="0.3">
      <c r="C34" s="95">
        <v>948.41</v>
      </c>
      <c r="D34" s="88">
        <f t="shared" si="0"/>
        <v>2.031134013964046E-2</v>
      </c>
      <c r="E34" s="53"/>
    </row>
    <row r="35" spans="1:7" ht="15.75" customHeight="1" x14ac:dyDescent="0.3">
      <c r="C35" s="95">
        <v>958.62</v>
      </c>
      <c r="D35" s="88">
        <f t="shared" si="0"/>
        <v>3.1295385840155815E-2</v>
      </c>
      <c r="E35" s="53"/>
    </row>
    <row r="36" spans="1:7" ht="15.75" customHeight="1" x14ac:dyDescent="0.3">
      <c r="C36" s="95">
        <v>890.04</v>
      </c>
      <c r="D36" s="88">
        <f t="shared" si="0"/>
        <v>-4.2483835917076385E-2</v>
      </c>
      <c r="E36" s="53"/>
    </row>
    <row r="37" spans="1:7" ht="15.75" customHeight="1" x14ac:dyDescent="0.3">
      <c r="C37" s="95">
        <v>904.69</v>
      </c>
      <c r="D37" s="88">
        <f t="shared" si="0"/>
        <v>-2.6723182683721793E-2</v>
      </c>
      <c r="E37" s="53"/>
    </row>
    <row r="38" spans="1:7" ht="15.75" customHeight="1" x14ac:dyDescent="0.3">
      <c r="C38" s="95">
        <v>929.97</v>
      </c>
      <c r="D38" s="88">
        <f t="shared" si="0"/>
        <v>4.7335750325439154E-4</v>
      </c>
      <c r="E38" s="53"/>
    </row>
    <row r="39" spans="1:7" ht="15.75" customHeight="1" x14ac:dyDescent="0.3">
      <c r="C39" s="95">
        <v>931.26</v>
      </c>
      <c r="D39" s="88">
        <f t="shared" si="0"/>
        <v>1.8611556377954646E-3</v>
      </c>
      <c r="E39" s="53"/>
    </row>
    <row r="40" spans="1:7" ht="15.75" customHeight="1" x14ac:dyDescent="0.3">
      <c r="C40" s="95">
        <v>959.83</v>
      </c>
      <c r="D40" s="88">
        <f t="shared" si="0"/>
        <v>3.259711897410527E-2</v>
      </c>
      <c r="E40" s="53"/>
    </row>
    <row r="41" spans="1:7" ht="15.75" customHeight="1" x14ac:dyDescent="0.3">
      <c r="C41" s="95">
        <v>927.16</v>
      </c>
      <c r="D41" s="88">
        <f t="shared" si="0"/>
        <v>-2.5496756425290252E-3</v>
      </c>
      <c r="E41" s="53"/>
    </row>
    <row r="42" spans="1:7" ht="15.75" customHeight="1" x14ac:dyDescent="0.3">
      <c r="C42" s="95">
        <v>930.32</v>
      </c>
      <c r="D42" s="88">
        <f t="shared" si="0"/>
        <v>8.4989188084308985E-4</v>
      </c>
      <c r="E42" s="53"/>
    </row>
    <row r="43" spans="1:7" ht="16.5" customHeight="1" x14ac:dyDescent="0.3">
      <c r="C43" s="96">
        <v>914.01</v>
      </c>
      <c r="D43" s="89">
        <f t="shared" si="0"/>
        <v>-1.6696610114789175E-2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18590.599999999999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929.53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283">
        <f>C46</f>
        <v>929.53</v>
      </c>
      <c r="C49" s="93">
        <f>-IF(C46&lt;=80,10%,IF(C46&lt;250,7.5%,5%))</f>
        <v>-0.05</v>
      </c>
      <c r="D49" s="81">
        <f>IF(C46&lt;=80,C46*0.9,IF(C46&lt;250,C46*0.925,C46*0.95))</f>
        <v>883.05349999999999</v>
      </c>
    </row>
    <row r="50" spans="1:6" ht="17.25" customHeight="1" x14ac:dyDescent="0.3">
      <c r="B50" s="284"/>
      <c r="C50" s="94">
        <f>IF(C46&lt;=80, 10%, IF(C46&lt;250, 7.5%, 5%))</f>
        <v>0.05</v>
      </c>
      <c r="D50" s="81">
        <f>IF(C46&lt;=80, C46*1.1, IF(C46&lt;250, C46*1.075, C46*1.05))</f>
        <v>976.00649999999996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 t="s">
        <v>128</v>
      </c>
      <c r="C53" s="72"/>
      <c r="D53" s="71" t="s">
        <v>127</v>
      </c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opLeftCell="A40" zoomScale="60" zoomScaleNormal="60" zoomScalePageLayoutView="55" workbookViewId="0">
      <selection activeCell="C60" sqref="C60:C6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9" t="s">
        <v>44</v>
      </c>
      <c r="B1" s="319"/>
      <c r="C1" s="319"/>
      <c r="D1" s="319"/>
      <c r="E1" s="319"/>
      <c r="F1" s="319"/>
      <c r="G1" s="319"/>
      <c r="H1" s="319"/>
      <c r="I1" s="319"/>
    </row>
    <row r="2" spans="1:9" ht="18.75" customHeight="1" x14ac:dyDescent="0.25">
      <c r="A2" s="319"/>
      <c r="B2" s="319"/>
      <c r="C2" s="319"/>
      <c r="D2" s="319"/>
      <c r="E2" s="319"/>
      <c r="F2" s="319"/>
      <c r="G2" s="319"/>
      <c r="H2" s="319"/>
      <c r="I2" s="319"/>
    </row>
    <row r="3" spans="1:9" ht="18.75" customHeight="1" x14ac:dyDescent="0.25">
      <c r="A3" s="319"/>
      <c r="B3" s="319"/>
      <c r="C3" s="319"/>
      <c r="D3" s="319"/>
      <c r="E3" s="319"/>
      <c r="F3" s="319"/>
      <c r="G3" s="319"/>
      <c r="H3" s="319"/>
      <c r="I3" s="319"/>
    </row>
    <row r="4" spans="1:9" ht="18.75" customHeight="1" x14ac:dyDescent="0.25">
      <c r="A4" s="319"/>
      <c r="B4" s="319"/>
      <c r="C4" s="319"/>
      <c r="D4" s="319"/>
      <c r="E4" s="319"/>
      <c r="F4" s="319"/>
      <c r="G4" s="319"/>
      <c r="H4" s="319"/>
      <c r="I4" s="319"/>
    </row>
    <row r="5" spans="1:9" ht="18.75" customHeight="1" x14ac:dyDescent="0.25">
      <c r="A5" s="319"/>
      <c r="B5" s="319"/>
      <c r="C5" s="319"/>
      <c r="D5" s="319"/>
      <c r="E5" s="319"/>
      <c r="F5" s="319"/>
      <c r="G5" s="319"/>
      <c r="H5" s="319"/>
      <c r="I5" s="319"/>
    </row>
    <row r="6" spans="1:9" ht="18.75" customHeight="1" x14ac:dyDescent="0.25">
      <c r="A6" s="319"/>
      <c r="B6" s="319"/>
      <c r="C6" s="319"/>
      <c r="D6" s="319"/>
      <c r="E6" s="319"/>
      <c r="F6" s="319"/>
      <c r="G6" s="319"/>
      <c r="H6" s="319"/>
      <c r="I6" s="319"/>
    </row>
    <row r="7" spans="1:9" ht="18.75" customHeight="1" x14ac:dyDescent="0.25">
      <c r="A7" s="319"/>
      <c r="B7" s="319"/>
      <c r="C7" s="319"/>
      <c r="D7" s="319"/>
      <c r="E7" s="319"/>
      <c r="F7" s="319"/>
      <c r="G7" s="319"/>
      <c r="H7" s="319"/>
      <c r="I7" s="319"/>
    </row>
    <row r="8" spans="1:9" x14ac:dyDescent="0.25">
      <c r="A8" s="320" t="s">
        <v>45</v>
      </c>
      <c r="B8" s="320"/>
      <c r="C8" s="320"/>
      <c r="D8" s="320"/>
      <c r="E8" s="320"/>
      <c r="F8" s="320"/>
      <c r="G8" s="320"/>
      <c r="H8" s="320"/>
      <c r="I8" s="320"/>
    </row>
    <row r="9" spans="1:9" x14ac:dyDescent="0.25">
      <c r="A9" s="320"/>
      <c r="B9" s="320"/>
      <c r="C9" s="320"/>
      <c r="D9" s="320"/>
      <c r="E9" s="320"/>
      <c r="F9" s="320"/>
      <c r="G9" s="320"/>
      <c r="H9" s="320"/>
      <c r="I9" s="320"/>
    </row>
    <row r="10" spans="1:9" x14ac:dyDescent="0.25">
      <c r="A10" s="320"/>
      <c r="B10" s="320"/>
      <c r="C10" s="320"/>
      <c r="D10" s="320"/>
      <c r="E10" s="320"/>
      <c r="F10" s="320"/>
      <c r="G10" s="320"/>
      <c r="H10" s="320"/>
      <c r="I10" s="320"/>
    </row>
    <row r="11" spans="1:9" x14ac:dyDescent="0.25">
      <c r="A11" s="320"/>
      <c r="B11" s="320"/>
      <c r="C11" s="320"/>
      <c r="D11" s="320"/>
      <c r="E11" s="320"/>
      <c r="F11" s="320"/>
      <c r="G11" s="320"/>
      <c r="H11" s="320"/>
      <c r="I11" s="320"/>
    </row>
    <row r="12" spans="1:9" x14ac:dyDescent="0.25">
      <c r="A12" s="320"/>
      <c r="B12" s="320"/>
      <c r="C12" s="320"/>
      <c r="D12" s="320"/>
      <c r="E12" s="320"/>
      <c r="F12" s="320"/>
      <c r="G12" s="320"/>
      <c r="H12" s="320"/>
      <c r="I12" s="320"/>
    </row>
    <row r="13" spans="1:9" x14ac:dyDescent="0.25">
      <c r="A13" s="320"/>
      <c r="B13" s="320"/>
      <c r="C13" s="320"/>
      <c r="D13" s="320"/>
      <c r="E13" s="320"/>
      <c r="F13" s="320"/>
      <c r="G13" s="320"/>
      <c r="H13" s="320"/>
      <c r="I13" s="320"/>
    </row>
    <row r="14" spans="1:9" x14ac:dyDescent="0.25">
      <c r="A14" s="320"/>
      <c r="B14" s="320"/>
      <c r="C14" s="320"/>
      <c r="D14" s="320"/>
      <c r="E14" s="320"/>
      <c r="F14" s="320"/>
      <c r="G14" s="320"/>
      <c r="H14" s="320"/>
      <c r="I14" s="320"/>
    </row>
    <row r="15" spans="1:9" ht="19.5" customHeight="1" x14ac:dyDescent="0.3">
      <c r="A15" s="98"/>
    </row>
    <row r="16" spans="1:9" ht="19.5" customHeight="1" x14ac:dyDescent="0.3">
      <c r="A16" s="292" t="s">
        <v>30</v>
      </c>
      <c r="B16" s="293"/>
      <c r="C16" s="293"/>
      <c r="D16" s="293"/>
      <c r="E16" s="293"/>
      <c r="F16" s="293"/>
      <c r="G16" s="293"/>
      <c r="H16" s="294"/>
    </row>
    <row r="17" spans="1:14" ht="20.25" customHeight="1" x14ac:dyDescent="0.25">
      <c r="A17" s="295" t="s">
        <v>46</v>
      </c>
      <c r="B17" s="295"/>
      <c r="C17" s="295"/>
      <c r="D17" s="295"/>
      <c r="E17" s="295"/>
      <c r="F17" s="295"/>
      <c r="G17" s="295"/>
      <c r="H17" s="295"/>
    </row>
    <row r="18" spans="1:14" ht="26.25" customHeight="1" x14ac:dyDescent="0.4">
      <c r="A18" s="100" t="s">
        <v>32</v>
      </c>
      <c r="B18" s="291" t="s">
        <v>5</v>
      </c>
      <c r="C18" s="291"/>
      <c r="D18" s="264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77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296" t="s">
        <v>9</v>
      </c>
      <c r="C20" s="296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296" t="s">
        <v>11</v>
      </c>
      <c r="C21" s="296"/>
      <c r="D21" s="296"/>
      <c r="E21" s="296"/>
      <c r="F21" s="296"/>
      <c r="G21" s="296"/>
      <c r="H21" s="296"/>
      <c r="I21" s="104"/>
    </row>
    <row r="22" spans="1:14" ht="26.25" customHeight="1" x14ac:dyDescent="0.4">
      <c r="A22" s="100" t="s">
        <v>36</v>
      </c>
      <c r="B22" s="105" t="s">
        <v>126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 t="s">
        <v>127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1" t="s">
        <v>124</v>
      </c>
      <c r="C26" s="291"/>
    </row>
    <row r="27" spans="1:14" ht="26.25" customHeight="1" x14ac:dyDescent="0.4">
      <c r="A27" s="109" t="s">
        <v>47</v>
      </c>
      <c r="B27" s="297" t="s">
        <v>125</v>
      </c>
      <c r="C27" s="297"/>
    </row>
    <row r="28" spans="1:14" ht="27" customHeight="1" x14ac:dyDescent="0.4">
      <c r="A28" s="109" t="s">
        <v>6</v>
      </c>
      <c r="B28" s="110">
        <v>98.9</v>
      </c>
    </row>
    <row r="29" spans="1:14" s="14" customFormat="1" ht="27" customHeight="1" x14ac:dyDescent="0.4">
      <c r="A29" s="109" t="s">
        <v>48</v>
      </c>
      <c r="B29" s="111">
        <v>0.06</v>
      </c>
      <c r="C29" s="298" t="s">
        <v>49</v>
      </c>
      <c r="D29" s="299"/>
      <c r="E29" s="299"/>
      <c r="F29" s="299"/>
      <c r="G29" s="300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98.84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301" t="s">
        <v>52</v>
      </c>
      <c r="D31" s="302"/>
      <c r="E31" s="302"/>
      <c r="F31" s="302"/>
      <c r="G31" s="302"/>
      <c r="H31" s="303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301" t="s">
        <v>54</v>
      </c>
      <c r="D32" s="302"/>
      <c r="E32" s="302"/>
      <c r="F32" s="302"/>
      <c r="G32" s="302"/>
      <c r="H32" s="30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100</v>
      </c>
      <c r="C36" s="99"/>
      <c r="D36" s="304" t="s">
        <v>58</v>
      </c>
      <c r="E36" s="305"/>
      <c r="F36" s="304" t="s">
        <v>59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1</v>
      </c>
      <c r="C38" s="131">
        <v>1</v>
      </c>
      <c r="D38" s="132">
        <v>104611991</v>
      </c>
      <c r="E38" s="133">
        <f>IF(ISBLANK(D38),"-",$D$48/$D$45*D38)</f>
        <v>93663479.548604518</v>
      </c>
      <c r="F38" s="132">
        <v>105475304</v>
      </c>
      <c r="G38" s="134">
        <f>IF(ISBLANK(F38),"-",$D$48/$F$45*F38)</f>
        <v>96089904.118388608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104679753</v>
      </c>
      <c r="E39" s="138">
        <f>IF(ISBLANK(D39),"-",$D$48/$D$45*D39)</f>
        <v>93724149.6939722</v>
      </c>
      <c r="F39" s="137">
        <v>105393310</v>
      </c>
      <c r="G39" s="139">
        <f>IF(ISBLANK(F39),"-",$D$48/$F$45*F39)</f>
        <v>96015206.105683357</v>
      </c>
      <c r="I39" s="308">
        <f>ABS((F43/D43*D42)-F42)/D42</f>
        <v>2.5301821738516868E-2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104612817</v>
      </c>
      <c r="E40" s="138">
        <f>IF(ISBLANK(D40),"-",$D$48/$D$45*D40)</f>
        <v>93664219.100862026</v>
      </c>
      <c r="F40" s="137">
        <v>105576800</v>
      </c>
      <c r="G40" s="139">
        <f>IF(ISBLANK(F40),"-",$D$48/$F$45*F40)</f>
        <v>96182368.80479899</v>
      </c>
      <c r="I40" s="308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104634853.66666667</v>
      </c>
      <c r="E42" s="148">
        <f>AVERAGE(E38:E41)</f>
        <v>93683949.447812915</v>
      </c>
      <c r="F42" s="147">
        <f>AVERAGE(F38:F41)</f>
        <v>105481804.66666667</v>
      </c>
      <c r="G42" s="149">
        <f>AVERAGE(G38:G41)</f>
        <v>96095826.342956975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20.34</v>
      </c>
      <c r="E43" s="140"/>
      <c r="F43" s="152">
        <v>19.989999999999998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20.34</v>
      </c>
      <c r="E44" s="155"/>
      <c r="F44" s="154">
        <f>F43*$B$34</f>
        <v>19.989999999999998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100</v>
      </c>
      <c r="C45" s="153" t="s">
        <v>76</v>
      </c>
      <c r="D45" s="157">
        <f>D44*$B$30/100</f>
        <v>20.104056</v>
      </c>
      <c r="E45" s="158"/>
      <c r="F45" s="157">
        <f>F44*$B$30/100</f>
        <v>19.758116000000001</v>
      </c>
      <c r="H45" s="150"/>
    </row>
    <row r="46" spans="1:14" ht="19.5" customHeight="1" x14ac:dyDescent="0.3">
      <c r="A46" s="309" t="s">
        <v>77</v>
      </c>
      <c r="B46" s="310"/>
      <c r="C46" s="153" t="s">
        <v>78</v>
      </c>
      <c r="D46" s="159">
        <f>D45/$B$45</f>
        <v>0.20104056000000001</v>
      </c>
      <c r="E46" s="160"/>
      <c r="F46" s="161">
        <f>F45/$B$45</f>
        <v>0.19758116000000001</v>
      </c>
      <c r="H46" s="150"/>
    </row>
    <row r="47" spans="1:14" ht="27" customHeight="1" x14ac:dyDescent="0.4">
      <c r="A47" s="311"/>
      <c r="B47" s="312"/>
      <c r="C47" s="162" t="s">
        <v>79</v>
      </c>
      <c r="D47" s="278">
        <v>0.18</v>
      </c>
      <c r="E47" s="163"/>
      <c r="F47" s="160"/>
      <c r="H47" s="150"/>
    </row>
    <row r="48" spans="1:14" ht="18.75" x14ac:dyDescent="0.3">
      <c r="C48" s="164" t="s">
        <v>80</v>
      </c>
      <c r="D48" s="157">
        <f>D47*$B$45</f>
        <v>18</v>
      </c>
      <c r="F48" s="165"/>
      <c r="H48" s="150"/>
    </row>
    <row r="49" spans="1:12" ht="19.5" customHeight="1" x14ac:dyDescent="0.3">
      <c r="C49" s="166" t="s">
        <v>81</v>
      </c>
      <c r="D49" s="167">
        <f>D48/B34</f>
        <v>18</v>
      </c>
      <c r="F49" s="165"/>
      <c r="H49" s="150"/>
    </row>
    <row r="50" spans="1:12" ht="18.75" x14ac:dyDescent="0.3">
      <c r="C50" s="122" t="s">
        <v>82</v>
      </c>
      <c r="D50" s="168">
        <f>AVERAGE(E38:E41,G38:G41)</f>
        <v>94889887.895384952</v>
      </c>
      <c r="F50" s="169"/>
      <c r="H50" s="150"/>
    </row>
    <row r="51" spans="1:12" ht="18.75" x14ac:dyDescent="0.3">
      <c r="C51" s="124" t="s">
        <v>83</v>
      </c>
      <c r="D51" s="170">
        <f>STDEV(E38:E41,G38:G41)/D50</f>
        <v>1.3934929784191044E-2</v>
      </c>
      <c r="F51" s="169"/>
      <c r="H51" s="150"/>
    </row>
    <row r="52" spans="1:12" ht="19.5" customHeight="1" x14ac:dyDescent="0.3">
      <c r="C52" s="171" t="s">
        <v>19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84</v>
      </c>
    </row>
    <row r="55" spans="1:12" ht="18.75" x14ac:dyDescent="0.3">
      <c r="A55" s="99" t="s">
        <v>85</v>
      </c>
      <c r="B55" s="175" t="str">
        <f>B21</f>
        <v>Each film coated tablet contains:
Praziquantel USP 600 mg</v>
      </c>
    </row>
    <row r="56" spans="1:12" ht="26.25" customHeight="1" x14ac:dyDescent="0.4">
      <c r="A56" s="176" t="s">
        <v>86</v>
      </c>
      <c r="B56" s="177">
        <v>600</v>
      </c>
      <c r="C56" s="99" t="str">
        <f>B20</f>
        <v>Praziquntel</v>
      </c>
      <c r="H56" s="178"/>
    </row>
    <row r="57" spans="1:12" ht="18.75" x14ac:dyDescent="0.3">
      <c r="A57" s="175" t="s">
        <v>87</v>
      </c>
      <c r="B57" s="265">
        <f>Uniformity!C46</f>
        <v>929.53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79" t="s">
        <v>89</v>
      </c>
      <c r="E59" s="180" t="s">
        <v>61</v>
      </c>
      <c r="F59" s="180" t="s">
        <v>62</v>
      </c>
      <c r="G59" s="180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4</v>
      </c>
      <c r="C60" s="313" t="s">
        <v>93</v>
      </c>
      <c r="D60" s="316">
        <v>340.15</v>
      </c>
      <c r="E60" s="181">
        <v>1</v>
      </c>
      <c r="F60" s="182">
        <v>87258565</v>
      </c>
      <c r="G60" s="266">
        <f>IF(ISBLANK(F60),"-",(F60/$D$50*$D$47*$B$68)*($B$57/$D$60))</f>
        <v>565.41013211342374</v>
      </c>
      <c r="H60" s="183">
        <f>IF(ISBLANK(F60),"-",G60/$B$56)</f>
        <v>0.94235022018903958</v>
      </c>
      <c r="L60" s="112"/>
    </row>
    <row r="61" spans="1:12" s="14" customFormat="1" ht="26.25" customHeight="1" x14ac:dyDescent="0.4">
      <c r="A61" s="124" t="s">
        <v>94</v>
      </c>
      <c r="B61" s="125">
        <v>50</v>
      </c>
      <c r="C61" s="314"/>
      <c r="D61" s="317"/>
      <c r="E61" s="184">
        <v>2</v>
      </c>
      <c r="F61" s="137">
        <v>87248925</v>
      </c>
      <c r="G61" s="267">
        <f>IF(ISBLANK(F61),"-",(F61/$D$50*$D$47*$B$68)*($B$57/$D$60))</f>
        <v>565.34766771610555</v>
      </c>
      <c r="H61" s="185">
        <f t="shared" ref="H61:H70" si="0">IF(ISBLANK(F61),"-",G61/$B$56)</f>
        <v>0.9422461128601759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314"/>
      <c r="D62" s="317"/>
      <c r="E62" s="184">
        <v>3</v>
      </c>
      <c r="F62" s="186">
        <v>87885388</v>
      </c>
      <c r="G62" s="267">
        <f>IF(ISBLANK(F62),"-",(F62/$D$50*$D$47*$B$68)*($B$57/$D$60))</f>
        <v>569.47176291427104</v>
      </c>
      <c r="H62" s="185">
        <f t="shared" si="0"/>
        <v>0.94911960485711844</v>
      </c>
      <c r="L62" s="112"/>
    </row>
    <row r="63" spans="1:12" ht="27" customHeight="1" x14ac:dyDescent="0.4">
      <c r="A63" s="124" t="s">
        <v>96</v>
      </c>
      <c r="B63" s="125">
        <v>1</v>
      </c>
      <c r="C63" s="315"/>
      <c r="D63" s="318"/>
      <c r="E63" s="187">
        <v>4</v>
      </c>
      <c r="F63" s="188"/>
      <c r="G63" s="267"/>
      <c r="H63" s="185"/>
    </row>
    <row r="64" spans="1:12" ht="26.25" customHeight="1" x14ac:dyDescent="0.4">
      <c r="A64" s="124" t="s">
        <v>97</v>
      </c>
      <c r="B64" s="125">
        <v>1</v>
      </c>
      <c r="C64" s="313" t="s">
        <v>98</v>
      </c>
      <c r="D64" s="316">
        <v>353.71</v>
      </c>
      <c r="E64" s="181">
        <v>1</v>
      </c>
      <c r="F64" s="182">
        <v>90752574</v>
      </c>
      <c r="G64" s="268">
        <f>IF(ISBLANK(F64),"-",(F64/$D$50*$D$47*$B$68)*($B$57/$D$64))</f>
        <v>565.50651016243387</v>
      </c>
      <c r="H64" s="189">
        <f t="shared" si="0"/>
        <v>0.94251085027072312</v>
      </c>
    </row>
    <row r="65" spans="1:8" ht="26.25" customHeight="1" x14ac:dyDescent="0.4">
      <c r="A65" s="124" t="s">
        <v>99</v>
      </c>
      <c r="B65" s="125">
        <v>1</v>
      </c>
      <c r="C65" s="314"/>
      <c r="D65" s="317"/>
      <c r="E65" s="184">
        <v>2</v>
      </c>
      <c r="F65" s="137">
        <v>91040321</v>
      </c>
      <c r="G65" s="269">
        <f>IF(ISBLANK(F65),"-",(F65/$D$50*$D$47*$B$68)*($B$57/$D$64))</f>
        <v>567.29954803020496</v>
      </c>
      <c r="H65" s="190">
        <f>IF(ISBLANK(F65),"-",G65/$B$56)</f>
        <v>0.94549924671700825</v>
      </c>
    </row>
    <row r="66" spans="1:8" ht="26.25" customHeight="1" x14ac:dyDescent="0.4">
      <c r="A66" s="124" t="s">
        <v>100</v>
      </c>
      <c r="B66" s="125">
        <v>1</v>
      </c>
      <c r="C66" s="314"/>
      <c r="D66" s="317"/>
      <c r="E66" s="184">
        <v>3</v>
      </c>
      <c r="F66" s="137">
        <v>90783093</v>
      </c>
      <c r="G66" s="269">
        <f>IF(ISBLANK(F66),"-",(F66/$D$50*$D$47*$B$68)*($B$57/$D$64))</f>
        <v>565.69668320572009</v>
      </c>
      <c r="H66" s="190">
        <f t="shared" si="0"/>
        <v>0.94282780534286681</v>
      </c>
    </row>
    <row r="67" spans="1:8" ht="27" customHeight="1" x14ac:dyDescent="0.4">
      <c r="A67" s="124" t="s">
        <v>101</v>
      </c>
      <c r="B67" s="125">
        <v>1</v>
      </c>
      <c r="C67" s="315"/>
      <c r="D67" s="318"/>
      <c r="E67" s="187">
        <v>4</v>
      </c>
      <c r="F67" s="188"/>
      <c r="G67" s="270"/>
      <c r="H67" s="191"/>
    </row>
    <row r="68" spans="1:8" ht="26.25" customHeight="1" x14ac:dyDescent="0.4">
      <c r="A68" s="124" t="s">
        <v>102</v>
      </c>
      <c r="B68" s="192">
        <f>(B67/B66)*(B65/B64)*(B63/B62)*(B61/B60)*B59</f>
        <v>1250</v>
      </c>
      <c r="C68" s="313" t="s">
        <v>103</v>
      </c>
      <c r="D68" s="316">
        <v>349.13</v>
      </c>
      <c r="E68" s="181">
        <v>1</v>
      </c>
      <c r="F68" s="182">
        <v>86943660</v>
      </c>
      <c r="G68" s="268">
        <f>IF(ISBLANK(F68),"-",(F68/$D$50*$D$47*$B$68)*($B$57/$D$68))</f>
        <v>548.87916477169608</v>
      </c>
      <c r="H68" s="185">
        <f>IF(ISBLANK(F68),"-",G68/$B$56)</f>
        <v>0.91479860795282686</v>
      </c>
    </row>
    <row r="69" spans="1:8" ht="27" customHeight="1" x14ac:dyDescent="0.4">
      <c r="A69" s="171" t="s">
        <v>104</v>
      </c>
      <c r="B69" s="193">
        <f>(D47*B68)/B56*B57</f>
        <v>348.57375000000002</v>
      </c>
      <c r="C69" s="314"/>
      <c r="D69" s="317"/>
      <c r="E69" s="184">
        <v>2</v>
      </c>
      <c r="F69" s="137">
        <v>87354077</v>
      </c>
      <c r="G69" s="269">
        <f>IF(ISBLANK(F69),"-",(F69/$D$50*$D$47*$B$68)*($B$57/$D$68))</f>
        <v>551.47014541557644</v>
      </c>
      <c r="H69" s="185">
        <f t="shared" si="0"/>
        <v>0.91911690902596077</v>
      </c>
    </row>
    <row r="70" spans="1:8" ht="26.25" customHeight="1" x14ac:dyDescent="0.4">
      <c r="A70" s="326" t="s">
        <v>77</v>
      </c>
      <c r="B70" s="327"/>
      <c r="C70" s="314"/>
      <c r="D70" s="317"/>
      <c r="E70" s="184">
        <v>3</v>
      </c>
      <c r="F70" s="137">
        <v>87272865</v>
      </c>
      <c r="G70" s="269">
        <f>IF(ISBLANK(F70),"-",(F70/$D$50*$D$47*$B$68)*($B$57/$D$68))</f>
        <v>550.95745047347896</v>
      </c>
      <c r="H70" s="185">
        <f t="shared" si="0"/>
        <v>0.91826241745579829</v>
      </c>
    </row>
    <row r="71" spans="1:8" ht="27" customHeight="1" x14ac:dyDescent="0.4">
      <c r="A71" s="328"/>
      <c r="B71" s="329"/>
      <c r="C71" s="325"/>
      <c r="D71" s="318"/>
      <c r="E71" s="187">
        <v>4</v>
      </c>
      <c r="F71" s="188"/>
      <c r="G71" s="270"/>
      <c r="H71" s="194"/>
    </row>
    <row r="72" spans="1:8" ht="26.25" customHeight="1" x14ac:dyDescent="0.4">
      <c r="A72" s="195"/>
      <c r="B72" s="195"/>
      <c r="C72" s="195"/>
      <c r="D72" s="195"/>
      <c r="E72" s="195"/>
      <c r="F72" s="197" t="s">
        <v>70</v>
      </c>
      <c r="G72" s="275">
        <f>AVERAGE(G60:G71)</f>
        <v>561.11545164476786</v>
      </c>
      <c r="H72" s="198">
        <f>AVERAGE(H60:H71)</f>
        <v>0.93519241940794651</v>
      </c>
    </row>
    <row r="73" spans="1:8" ht="26.25" customHeight="1" x14ac:dyDescent="0.4">
      <c r="C73" s="195"/>
      <c r="D73" s="195"/>
      <c r="E73" s="195"/>
      <c r="F73" s="199" t="s">
        <v>83</v>
      </c>
      <c r="G73" s="271">
        <f>STDEV(G60:G71)/G72</f>
        <v>1.4514518070640678E-2</v>
      </c>
      <c r="H73" s="271">
        <f>STDEV(H60:H71)/H72</f>
        <v>1.4514518070640657E-2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19</v>
      </c>
      <c r="G74" s="202">
        <f>COUNT(G60:G71)</f>
        <v>9</v>
      </c>
      <c r="H74" s="202">
        <f>COUNT(H60:H71)</f>
        <v>9</v>
      </c>
    </row>
    <row r="76" spans="1:8" ht="26.25" customHeight="1" x14ac:dyDescent="0.4">
      <c r="A76" s="108" t="s">
        <v>105</v>
      </c>
      <c r="B76" s="203" t="s">
        <v>106</v>
      </c>
      <c r="C76" s="321" t="str">
        <f>B20</f>
        <v>Praziquntel</v>
      </c>
      <c r="D76" s="321"/>
      <c r="E76" s="204" t="s">
        <v>107</v>
      </c>
      <c r="F76" s="204"/>
      <c r="G76" s="205">
        <f>H72</f>
        <v>0.93519241940794651</v>
      </c>
      <c r="H76" s="206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7" t="str">
        <f>B26</f>
        <v>Praziquantel</v>
      </c>
      <c r="C79" s="307"/>
    </row>
    <row r="80" spans="1:8" ht="26.25" customHeight="1" x14ac:dyDescent="0.4">
      <c r="A80" s="109" t="s">
        <v>47</v>
      </c>
      <c r="B80" s="307" t="str">
        <f>B27</f>
        <v>WRS/P6-4</v>
      </c>
      <c r="C80" s="307"/>
    </row>
    <row r="81" spans="1:12" ht="27" customHeight="1" x14ac:dyDescent="0.4">
      <c r="A81" s="109" t="s">
        <v>6</v>
      </c>
      <c r="B81" s="207">
        <f>B28</f>
        <v>98.9</v>
      </c>
    </row>
    <row r="82" spans="1:12" s="14" customFormat="1" ht="27" customHeight="1" x14ac:dyDescent="0.4">
      <c r="A82" s="109" t="s">
        <v>48</v>
      </c>
      <c r="B82" s="111">
        <v>0.06</v>
      </c>
      <c r="C82" s="298" t="s">
        <v>49</v>
      </c>
      <c r="D82" s="299"/>
      <c r="E82" s="299"/>
      <c r="F82" s="299"/>
      <c r="G82" s="300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98.84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301" t="s">
        <v>110</v>
      </c>
      <c r="D84" s="302"/>
      <c r="E84" s="302"/>
      <c r="F84" s="302"/>
      <c r="G84" s="302"/>
      <c r="H84" s="303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301" t="s">
        <v>111</v>
      </c>
      <c r="D85" s="302"/>
      <c r="E85" s="302"/>
      <c r="F85" s="302"/>
      <c r="G85" s="302"/>
      <c r="H85" s="30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100</v>
      </c>
      <c r="D89" s="208" t="s">
        <v>58</v>
      </c>
      <c r="E89" s="209"/>
      <c r="F89" s="304" t="s">
        <v>59</v>
      </c>
      <c r="G89" s="306"/>
    </row>
    <row r="90" spans="1:12" ht="27" customHeight="1" x14ac:dyDescent="0.4">
      <c r="A90" s="124" t="s">
        <v>60</v>
      </c>
      <c r="B90" s="125">
        <v>2</v>
      </c>
      <c r="C90" s="210" t="s">
        <v>61</v>
      </c>
      <c r="D90" s="127" t="s">
        <v>62</v>
      </c>
      <c r="E90" s="128" t="s">
        <v>63</v>
      </c>
      <c r="F90" s="127" t="s">
        <v>62</v>
      </c>
      <c r="G90" s="211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50</v>
      </c>
      <c r="C91" s="212">
        <v>1</v>
      </c>
      <c r="D91" s="132">
        <v>0.64659999999999995</v>
      </c>
      <c r="E91" s="133">
        <f>IF(ISBLANK(D91),"-",$D$101/$D$98*D91)</f>
        <v>0.77190393819038305</v>
      </c>
      <c r="F91" s="132">
        <v>0.64170000000000005</v>
      </c>
      <c r="G91" s="134">
        <f>IF(ISBLANK(F91),"-",$D$101/$F$98*F91)</f>
        <v>0.79010719305609922</v>
      </c>
      <c r="I91" s="135"/>
    </row>
    <row r="92" spans="1:12" ht="26.25" customHeight="1" x14ac:dyDescent="0.4">
      <c r="A92" s="124" t="s">
        <v>66</v>
      </c>
      <c r="B92" s="125">
        <v>1</v>
      </c>
      <c r="C92" s="196">
        <v>2</v>
      </c>
      <c r="D92" s="137">
        <v>0.65920000000000001</v>
      </c>
      <c r="E92" s="138">
        <f>IF(ISBLANK(D92),"-",$D$101/$D$98*D92)</f>
        <v>0.78694567902118862</v>
      </c>
      <c r="F92" s="137">
        <v>0.64370000000000005</v>
      </c>
      <c r="G92" s="139">
        <f>IF(ISBLANK(F92),"-",$D$101/$F$98*F92)</f>
        <v>0.79256973690230803</v>
      </c>
      <c r="I92" s="308">
        <f>ABS((F96/D96*D95)-F95)/D95</f>
        <v>1.2410693035030326E-2</v>
      </c>
    </row>
    <row r="93" spans="1:12" ht="26.25" customHeight="1" x14ac:dyDescent="0.4">
      <c r="A93" s="124" t="s">
        <v>67</v>
      </c>
      <c r="B93" s="125">
        <v>1</v>
      </c>
      <c r="C93" s="196">
        <v>3</v>
      </c>
      <c r="D93" s="137">
        <v>0.65739999999999998</v>
      </c>
      <c r="E93" s="138">
        <f>IF(ISBLANK(D93),"-",$D$101/$D$98*D93)</f>
        <v>0.78479685890250206</v>
      </c>
      <c r="F93" s="137">
        <v>0.64239999999999997</v>
      </c>
      <c r="G93" s="139">
        <f>IF(ISBLANK(F93),"-",$D$101/$F$98*F93)</f>
        <v>0.79096908340227223</v>
      </c>
      <c r="I93" s="308"/>
    </row>
    <row r="94" spans="1:12" ht="27" customHeight="1" x14ac:dyDescent="0.4">
      <c r="A94" s="124" t="s">
        <v>68</v>
      </c>
      <c r="B94" s="125">
        <v>1</v>
      </c>
      <c r="C94" s="213">
        <v>4</v>
      </c>
      <c r="D94" s="142"/>
      <c r="E94" s="143" t="str">
        <f>IF(ISBLANK(D94),"-",$D$101/$D$98*D94)</f>
        <v>-</v>
      </c>
      <c r="F94" s="214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5" t="s">
        <v>70</v>
      </c>
      <c r="D95" s="216">
        <f>AVERAGE(D91:D94)</f>
        <v>0.65439999999999998</v>
      </c>
      <c r="E95" s="148">
        <f>AVERAGE(E91:E94)</f>
        <v>0.78121549203802454</v>
      </c>
      <c r="F95" s="217">
        <f>AVERAGE(F91:F94)</f>
        <v>0.64259999999999995</v>
      </c>
      <c r="G95" s="218">
        <f>AVERAGE(G91:G94)</f>
        <v>0.79121533778689324</v>
      </c>
    </row>
    <row r="96" spans="1:12" ht="26.25" customHeight="1" x14ac:dyDescent="0.4">
      <c r="A96" s="124" t="s">
        <v>71</v>
      </c>
      <c r="B96" s="110">
        <v>1</v>
      </c>
      <c r="C96" s="219" t="s">
        <v>112</v>
      </c>
      <c r="D96" s="220">
        <v>28.25</v>
      </c>
      <c r="E96" s="140"/>
      <c r="F96" s="152">
        <v>27.39</v>
      </c>
    </row>
    <row r="97" spans="1:10" ht="26.25" customHeight="1" x14ac:dyDescent="0.4">
      <c r="A97" s="124" t="s">
        <v>73</v>
      </c>
      <c r="B97" s="110">
        <v>1</v>
      </c>
      <c r="C97" s="221" t="s">
        <v>113</v>
      </c>
      <c r="D97" s="222">
        <f>D96*$B$87</f>
        <v>28.25</v>
      </c>
      <c r="E97" s="155"/>
      <c r="F97" s="154">
        <f>F96*$B$87</f>
        <v>27.39</v>
      </c>
    </row>
    <row r="98" spans="1:10" ht="19.5" customHeight="1" x14ac:dyDescent="0.3">
      <c r="A98" s="124" t="s">
        <v>75</v>
      </c>
      <c r="B98" s="223">
        <f>(B97/B96)*(B95/B94)*(B93/B92)*(B91/B90)*B89</f>
        <v>2500</v>
      </c>
      <c r="C98" s="221" t="s">
        <v>114</v>
      </c>
      <c r="D98" s="224">
        <f>D97*$B$83/100</f>
        <v>27.9223</v>
      </c>
      <c r="E98" s="158"/>
      <c r="F98" s="157">
        <f>F97*$B$83/100</f>
        <v>27.072276000000002</v>
      </c>
    </row>
    <row r="99" spans="1:10" ht="19.5" customHeight="1" x14ac:dyDescent="0.3">
      <c r="A99" s="309" t="s">
        <v>77</v>
      </c>
      <c r="B99" s="323"/>
      <c r="C99" s="221" t="s">
        <v>115</v>
      </c>
      <c r="D99" s="225">
        <f>D98/$B$98</f>
        <v>1.1168920000000001E-2</v>
      </c>
      <c r="E99" s="158"/>
      <c r="F99" s="161">
        <f>F98/$B$98</f>
        <v>1.0828910400000001E-2</v>
      </c>
      <c r="G99" s="226"/>
      <c r="H99" s="150"/>
    </row>
    <row r="100" spans="1:10" ht="19.5" customHeight="1" x14ac:dyDescent="0.3">
      <c r="A100" s="311"/>
      <c r="B100" s="324"/>
      <c r="C100" s="221" t="s">
        <v>79</v>
      </c>
      <c r="D100" s="227">
        <f>$B$56/$B$116</f>
        <v>1.3333333333333334E-2</v>
      </c>
      <c r="F100" s="165"/>
      <c r="G100" s="228"/>
      <c r="H100" s="150"/>
    </row>
    <row r="101" spans="1:10" ht="18.75" x14ac:dyDescent="0.3">
      <c r="C101" s="221" t="s">
        <v>80</v>
      </c>
      <c r="D101" s="222">
        <f>D100*$B$98</f>
        <v>33.333333333333336</v>
      </c>
      <c r="F101" s="165"/>
      <c r="G101" s="226"/>
      <c r="H101" s="150"/>
    </row>
    <row r="102" spans="1:10" ht="19.5" customHeight="1" x14ac:dyDescent="0.3">
      <c r="C102" s="229" t="s">
        <v>81</v>
      </c>
      <c r="D102" s="230">
        <f>D101/B34</f>
        <v>33.333333333333336</v>
      </c>
      <c r="F102" s="169"/>
      <c r="G102" s="226"/>
      <c r="H102" s="150"/>
      <c r="J102" s="231"/>
    </row>
    <row r="103" spans="1:10" ht="18.75" x14ac:dyDescent="0.3">
      <c r="C103" s="232" t="s">
        <v>116</v>
      </c>
      <c r="D103" s="233">
        <f>AVERAGE(E91:E94,G91:G94)</f>
        <v>0.78621541491245883</v>
      </c>
      <c r="F103" s="169"/>
      <c r="G103" s="234"/>
      <c r="H103" s="150"/>
      <c r="J103" s="235"/>
    </row>
    <row r="104" spans="1:10" ht="18.75" x14ac:dyDescent="0.3">
      <c r="C104" s="199" t="s">
        <v>83</v>
      </c>
      <c r="D104" s="236">
        <f>STDEV(E91:E94,G91:G94)/D103</f>
        <v>9.6109171477340802E-3</v>
      </c>
      <c r="F104" s="169"/>
      <c r="G104" s="226"/>
      <c r="H104" s="150"/>
      <c r="J104" s="235"/>
    </row>
    <row r="105" spans="1:10" ht="19.5" customHeight="1" x14ac:dyDescent="0.3">
      <c r="C105" s="201" t="s">
        <v>19</v>
      </c>
      <c r="D105" s="237">
        <f>COUNT(E91:E94,G91:G94)</f>
        <v>6</v>
      </c>
      <c r="F105" s="169"/>
      <c r="G105" s="226"/>
      <c r="H105" s="150"/>
      <c r="J105" s="23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2" t="s">
        <v>117</v>
      </c>
      <c r="B107" s="123">
        <v>900</v>
      </c>
      <c r="C107" s="238" t="s">
        <v>118</v>
      </c>
      <c r="D107" s="239" t="s">
        <v>62</v>
      </c>
      <c r="E107" s="240" t="s">
        <v>119</v>
      </c>
      <c r="F107" s="241" t="s">
        <v>120</v>
      </c>
    </row>
    <row r="108" spans="1:10" ht="26.25" customHeight="1" x14ac:dyDescent="0.4">
      <c r="A108" s="124" t="s">
        <v>121</v>
      </c>
      <c r="B108" s="125">
        <v>2</v>
      </c>
      <c r="C108" s="242">
        <v>1</v>
      </c>
      <c r="D108" s="279">
        <v>0.80230000000000001</v>
      </c>
      <c r="E108" s="272">
        <f>IF(ISBLANK(D108),"-",D108/$D$103*$D$100*$B$116)</f>
        <v>612.27494509707537</v>
      </c>
      <c r="F108" s="243">
        <f t="shared" ref="F108" si="1">IF(ISBLANK(D108), "-", E108/$B$56)</f>
        <v>1.0204582418284589</v>
      </c>
    </row>
    <row r="109" spans="1:10" ht="26.25" customHeight="1" x14ac:dyDescent="0.4">
      <c r="A109" s="124" t="s">
        <v>94</v>
      </c>
      <c r="B109" s="125">
        <v>100</v>
      </c>
      <c r="C109" s="242">
        <v>2</v>
      </c>
      <c r="D109" s="279">
        <v>0.6865</v>
      </c>
      <c r="E109" s="273">
        <f t="shared" ref="E109:E113" si="2">IF(ISBLANK(D109),"-",D109/$D$103*$D$100*$B$116)</f>
        <v>523.9022183835749</v>
      </c>
      <c r="F109" s="244">
        <f>IF(ISBLANK(D109), "-", E109/$B$56)</f>
        <v>0.87317036397262482</v>
      </c>
    </row>
    <row r="110" spans="1:10" ht="26.25" customHeight="1" x14ac:dyDescent="0.4">
      <c r="A110" s="124" t="s">
        <v>95</v>
      </c>
      <c r="B110" s="125">
        <v>1</v>
      </c>
      <c r="C110" s="242">
        <v>3</v>
      </c>
      <c r="D110" s="279">
        <v>0.75900000000000001</v>
      </c>
      <c r="E110" s="273">
        <f t="shared" si="2"/>
        <v>579.23056628278721</v>
      </c>
      <c r="F110" s="244">
        <f>IF(ISBLANK(D110), "-", E110/$B$56)</f>
        <v>0.9653842771379787</v>
      </c>
    </row>
    <row r="111" spans="1:10" ht="26.25" customHeight="1" x14ac:dyDescent="0.4">
      <c r="A111" s="124" t="s">
        <v>96</v>
      </c>
      <c r="B111" s="125">
        <v>1</v>
      </c>
      <c r="C111" s="242">
        <v>4</v>
      </c>
      <c r="D111" s="279">
        <v>0.73360000000000003</v>
      </c>
      <c r="E111" s="273">
        <f t="shared" si="2"/>
        <v>559.84656577740805</v>
      </c>
      <c r="F111" s="244">
        <f>IF(ISBLANK(D111), "-", E111/$B$56)</f>
        <v>0.93307760962901343</v>
      </c>
    </row>
    <row r="112" spans="1:10" ht="26.25" customHeight="1" x14ac:dyDescent="0.4">
      <c r="A112" s="124" t="s">
        <v>97</v>
      </c>
      <c r="B112" s="125">
        <v>1</v>
      </c>
      <c r="C112" s="242">
        <v>5</v>
      </c>
      <c r="D112" s="279">
        <v>0.68089999999999995</v>
      </c>
      <c r="E112" s="273">
        <f t="shared" si="2"/>
        <v>519.62858047687723</v>
      </c>
      <c r="F112" s="244">
        <f>IF(ISBLANK(D112), "-", E112/$B$56)</f>
        <v>0.86604763412812868</v>
      </c>
    </row>
    <row r="113" spans="1:10" ht="26.25" customHeight="1" x14ac:dyDescent="0.4">
      <c r="A113" s="124" t="s">
        <v>99</v>
      </c>
      <c r="B113" s="125">
        <v>1</v>
      </c>
      <c r="C113" s="245">
        <v>6</v>
      </c>
      <c r="D113" s="280">
        <v>0.76280000000000003</v>
      </c>
      <c r="E113" s="274">
        <f t="shared" si="2"/>
        <v>582.13053486233218</v>
      </c>
      <c r="F113" s="246">
        <f>IF(ISBLANK(D113), "-", E113/$B$56)</f>
        <v>0.97021755810388699</v>
      </c>
    </row>
    <row r="114" spans="1:10" ht="26.25" customHeight="1" x14ac:dyDescent="0.4">
      <c r="A114" s="124" t="s">
        <v>100</v>
      </c>
      <c r="B114" s="125">
        <v>1</v>
      </c>
      <c r="C114" s="242"/>
      <c r="D114" s="196"/>
      <c r="E114" s="98"/>
      <c r="F114" s="247"/>
    </row>
    <row r="115" spans="1:10" ht="26.25" customHeight="1" x14ac:dyDescent="0.4">
      <c r="A115" s="124" t="s">
        <v>101</v>
      </c>
      <c r="B115" s="125">
        <v>1</v>
      </c>
      <c r="C115" s="242"/>
      <c r="D115" s="248" t="s">
        <v>70</v>
      </c>
      <c r="E115" s="276">
        <f>AVERAGE(E108:E113)</f>
        <v>562.83556848000921</v>
      </c>
      <c r="F115" s="249">
        <f>AVERAGE(F108:F113)</f>
        <v>0.93805928080001522</v>
      </c>
    </row>
    <row r="116" spans="1:10" ht="27" customHeight="1" x14ac:dyDescent="0.4">
      <c r="A116" s="124" t="s">
        <v>102</v>
      </c>
      <c r="B116" s="156">
        <f>(B115/B114)*(B113/B112)*(B111/B110)*(B109/B108)*B107</f>
        <v>45000</v>
      </c>
      <c r="C116" s="250"/>
      <c r="D116" s="215" t="s">
        <v>83</v>
      </c>
      <c r="E116" s="251">
        <f>STDEV(E108:E113)/E115</f>
        <v>6.3946676147067005E-2</v>
      </c>
      <c r="F116" s="251">
        <f>STDEV(F108:F113)/F115</f>
        <v>6.3946676147067019E-2</v>
      </c>
      <c r="I116" s="98"/>
    </row>
    <row r="117" spans="1:10" ht="27" customHeight="1" x14ac:dyDescent="0.4">
      <c r="A117" s="309" t="s">
        <v>77</v>
      </c>
      <c r="B117" s="310"/>
      <c r="C117" s="252"/>
      <c r="D117" s="253" t="s">
        <v>19</v>
      </c>
      <c r="E117" s="254">
        <f>COUNT(E108:E113)</f>
        <v>6</v>
      </c>
      <c r="F117" s="254">
        <f>COUNT(F108:F113)</f>
        <v>6</v>
      </c>
      <c r="I117" s="98"/>
      <c r="J117" s="235"/>
    </row>
    <row r="118" spans="1:10" ht="19.5" customHeight="1" x14ac:dyDescent="0.3">
      <c r="A118" s="311"/>
      <c r="B118" s="312"/>
      <c r="C118" s="98"/>
      <c r="D118" s="98"/>
      <c r="E118" s="98"/>
      <c r="F118" s="196"/>
      <c r="G118" s="98"/>
      <c r="H118" s="98"/>
      <c r="I118" s="98"/>
    </row>
    <row r="119" spans="1:10" ht="18.75" x14ac:dyDescent="0.3">
      <c r="A119" s="263"/>
      <c r="B119" s="120"/>
      <c r="C119" s="98"/>
      <c r="D119" s="98"/>
      <c r="E119" s="98"/>
      <c r="F119" s="196"/>
      <c r="G119" s="98"/>
      <c r="H119" s="98"/>
      <c r="I119" s="98"/>
    </row>
    <row r="120" spans="1:10" ht="26.25" customHeight="1" x14ac:dyDescent="0.4">
      <c r="A120" s="108" t="s">
        <v>105</v>
      </c>
      <c r="B120" s="203" t="s">
        <v>122</v>
      </c>
      <c r="C120" s="321" t="str">
        <f>B20</f>
        <v>Praziquntel</v>
      </c>
      <c r="D120" s="321"/>
      <c r="E120" s="204" t="s">
        <v>123</v>
      </c>
      <c r="F120" s="204"/>
      <c r="G120" s="205">
        <f>F115</f>
        <v>0.93805928080001522</v>
      </c>
      <c r="H120" s="98"/>
      <c r="I120" s="98"/>
    </row>
    <row r="121" spans="1:10" ht="19.5" customHeight="1" x14ac:dyDescent="0.3">
      <c r="A121" s="255"/>
      <c r="B121" s="255"/>
      <c r="C121" s="256"/>
      <c r="D121" s="256"/>
      <c r="E121" s="256"/>
      <c r="F121" s="256"/>
      <c r="G121" s="256"/>
      <c r="H121" s="256"/>
    </row>
    <row r="122" spans="1:10" ht="18.75" x14ac:dyDescent="0.3">
      <c r="B122" s="322" t="s">
        <v>25</v>
      </c>
      <c r="C122" s="322"/>
      <c r="E122" s="210" t="s">
        <v>26</v>
      </c>
      <c r="F122" s="257"/>
      <c r="G122" s="322" t="s">
        <v>27</v>
      </c>
      <c r="H122" s="322"/>
    </row>
    <row r="123" spans="1:10" ht="48.75" customHeight="1" x14ac:dyDescent="0.3">
      <c r="A123" s="258" t="s">
        <v>28</v>
      </c>
      <c r="B123" s="259"/>
      <c r="C123" s="259" t="s">
        <v>128</v>
      </c>
      <c r="E123" s="259" t="s">
        <v>127</v>
      </c>
      <c r="F123" s="98"/>
      <c r="G123" s="260"/>
      <c r="H123" s="260"/>
    </row>
    <row r="124" spans="1:10" ht="42" customHeight="1" x14ac:dyDescent="0.3">
      <c r="A124" s="258" t="s">
        <v>29</v>
      </c>
      <c r="B124" s="261"/>
      <c r="C124" s="261"/>
      <c r="E124" s="261"/>
      <c r="F124" s="98"/>
      <c r="G124" s="262"/>
      <c r="H124" s="262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8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8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8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8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8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8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8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8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Praziquantel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2016-02-22T10:21:57Z</cp:lastPrinted>
  <dcterms:created xsi:type="dcterms:W3CDTF">2005-07-05T10:19:27Z</dcterms:created>
  <dcterms:modified xsi:type="dcterms:W3CDTF">2016-02-25T07:57:11Z</dcterms:modified>
  <cp:category/>
</cp:coreProperties>
</file>