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RISPERIDO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0" i="3"/>
  <c r="B116" i="3"/>
  <c r="D100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50" i="2" s="1"/>
  <c r="C45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G91" i="3" s="1"/>
  <c r="F98" i="3"/>
  <c r="G93" i="3" s="1"/>
  <c r="I39" i="3"/>
  <c r="D49" i="3"/>
  <c r="D45" i="3"/>
  <c r="E39" i="3" s="1"/>
  <c r="D98" i="3"/>
  <c r="D33" i="2"/>
  <c r="D41" i="2"/>
  <c r="C50" i="2"/>
  <c r="D27" i="2"/>
  <c r="D31" i="2"/>
  <c r="D35" i="2"/>
  <c r="D39" i="2"/>
  <c r="D43" i="2"/>
  <c r="C49" i="2"/>
  <c r="F44" i="3"/>
  <c r="F45" i="3" s="1"/>
  <c r="D29" i="2"/>
  <c r="D37" i="2"/>
  <c r="D24" i="2"/>
  <c r="D28" i="2"/>
  <c r="D32" i="2"/>
  <c r="D36" i="2"/>
  <c r="D40" i="2"/>
  <c r="D49" i="2"/>
  <c r="B57" i="3"/>
  <c r="B69" i="3" s="1"/>
  <c r="D26" i="2"/>
  <c r="D30" i="2"/>
  <c r="D34" i="2"/>
  <c r="D38" i="2"/>
  <c r="D42" i="2"/>
  <c r="B49" i="2"/>
  <c r="G94" i="3" l="1"/>
  <c r="E92" i="3"/>
  <c r="D102" i="3"/>
  <c r="G92" i="3"/>
  <c r="F99" i="3"/>
  <c r="D46" i="3"/>
  <c r="E41" i="3"/>
  <c r="E38" i="3"/>
  <c r="E40" i="3"/>
  <c r="F46" i="3"/>
  <c r="G41" i="3"/>
  <c r="D99" i="3"/>
  <c r="E93" i="3"/>
  <c r="G39" i="3"/>
  <c r="G40" i="3"/>
  <c r="G38" i="3"/>
  <c r="E91" i="3"/>
  <c r="E94" i="3"/>
  <c r="G95" i="3" l="1"/>
  <c r="E42" i="3"/>
  <c r="D52" i="3"/>
  <c r="D50" i="3"/>
  <c r="G64" i="3" s="1"/>
  <c r="H64" i="3" s="1"/>
  <c r="G42" i="3"/>
  <c r="E95" i="3"/>
  <c r="D105" i="3"/>
  <c r="D103" i="3"/>
  <c r="G60" i="3" l="1"/>
  <c r="H60" i="3" s="1"/>
  <c r="G71" i="3"/>
  <c r="H71" i="3" s="1"/>
  <c r="G66" i="3"/>
  <c r="H66" i="3" s="1"/>
  <c r="G70" i="3"/>
  <c r="H70" i="3" s="1"/>
  <c r="G68" i="3"/>
  <c r="H68" i="3" s="1"/>
  <c r="G65" i="3"/>
  <c r="H65" i="3" s="1"/>
  <c r="G69" i="3"/>
  <c r="H69" i="3" s="1"/>
  <c r="G67" i="3"/>
  <c r="H67" i="3" s="1"/>
  <c r="G61" i="3"/>
  <c r="H61" i="3" s="1"/>
  <c r="G62" i="3"/>
  <c r="H62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<sst xmlns="http://schemas.openxmlformats.org/spreadsheetml/2006/main" count="233" uniqueCount="127">
  <si>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</si>
  <si>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</si>
  <si>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</si>
  <si>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</si>
  <si>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</si>
  <si>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RESICALM 2</t>
  </si>
  <si>
    <t>% age Purity:</t>
  </si>
  <si>
    <t>NDQD201509262</t>
  </si>
  <si>
    <t>Weight (mg):</t>
  </si>
  <si>
    <t>Risperidone</t>
  </si>
  <si>
    <t>Standard Conc (mg/mL):</t>
  </si>
  <si>
    <t>Each film coated tablet contains:
Risperidone Ph.Eur. 2 mg</t>
  </si>
  <si>
    <t>2015-09-09 11:53:55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</si>
  <si>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</si>
  <si>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</si>
  <si>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</si>
  <si>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</si>
  <si>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</si>
  <si>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</si>
  <si>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</si>
  <si>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</si>
  <si>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</si>
  <si>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</si>
  <si>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</si>
  <si>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</si>
  <si>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</si>
  <si>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</si>
  <si>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</si>
  <si>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</si>
  <si>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</si>
  <si>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</si>
  <si>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</si>
  <si>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</si>
  <si>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</si>
  <si>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</si>
  <si>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</si>
  <si>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</si>
  <si>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</si>
  <si>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</si>
  <si>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</si>
  <si>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</si>
  <si>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</si>
  <si>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</si>
  <si>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</si>
  <si>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</si>
  <si>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</si>
  <si>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</si>
  <si>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</si>
  <si>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</si>
  <si>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</si>
  <si>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</si>
  <si>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</si>
  <si>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</si>
  <si>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</si>
  <si>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</si>
  <si>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</si>
  <si>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</si>
  <si>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</si>
  <si>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</si>
  <si>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</si>
  <si>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</si>
  <si>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</si>
  <si>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</si>
  <si>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</si>
  <si>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</si>
  <si>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</si>
  <si>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</si>
  <si>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</si>
  <si>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</si>
  <si>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</si>
  <si>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</si>
  <si>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</si>
  <si>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</si>
  <si>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</si>
  <si>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</si>
  <si>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</si>
  <si>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</si>
  <si>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</si>
  <si>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</si>
  <si>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</si>
  <si>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</si>
  <si>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</si>
  <si>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</si>
  <si>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</si>
  <si>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</si>
  <si>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</si>
  <si>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</si>
  <si>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</si>
  <si>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</si>
  <si>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</si>
  <si>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</si>
  <si>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</si>
  <si>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</si>
  <si>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</si>
  <si>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</si>
  <si>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</si>
  <si>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</si>
  <si>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</si>
  <si>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</si>
  <si>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</si>
  <si>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</si>
  <si>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</si>
  <si>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</si>
  <si>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</si>
  <si>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</si>
  <si>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</si>
  <si>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</si>
  <si>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</si>
  <si>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</si>
  <si>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</si>
  <si>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</si>
  <si>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</si>
  <si>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</si>
  <si>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</si>
  <si>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</si>
  <si>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</si>
  <si>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</si>
  <si>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</si>
  <si>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</si>
  <si>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</si>
  <si>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</si>
  <si>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</si>
  <si>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</si>
  <si>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</si>
  <si>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</si>
  <si>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Each film coated tablet contains: Risperidone 2 mg
Risperidone Ph.Eur. 2 mg</t>
  </si>
  <si>
    <t>R17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</si>
</sst>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B20/100*10/20</f>
        <v>0.10494999999999999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320638101</v>
      </c>
      <c r="C24" s="18">
        <v>9971.7999999999993</v>
      </c>
      <c r="D24" s="19">
        <v>1.8</v>
      </c>
      <c r="E24" s="20">
        <v>9.1999999999999993</v>
      </c>
    </row>
    <row r="25" spans="1:6" ht="16.5" customHeight="1" x14ac:dyDescent="0.3">
      <c r="A25" s="17">
        <v>2</v>
      </c>
      <c r="B25" s="18">
        <v>320447517</v>
      </c>
      <c r="C25" s="18">
        <v>9922.2999999999993</v>
      </c>
      <c r="D25" s="19">
        <v>1.8</v>
      </c>
      <c r="E25" s="19">
        <v>9.1999999999999993</v>
      </c>
    </row>
    <row r="26" spans="1:6" ht="16.5" customHeight="1" x14ac:dyDescent="0.3">
      <c r="A26" s="17">
        <v>3</v>
      </c>
      <c r="B26" s="18">
        <v>320900178</v>
      </c>
      <c r="C26" s="18">
        <v>9910.2999999999993</v>
      </c>
      <c r="D26" s="19">
        <v>1.8</v>
      </c>
      <c r="E26" s="19">
        <v>9.1999999999999993</v>
      </c>
    </row>
    <row r="27" spans="1:6" ht="16.5" customHeight="1" x14ac:dyDescent="0.3">
      <c r="A27" s="17">
        <v>4</v>
      </c>
      <c r="B27" s="18">
        <v>320586049</v>
      </c>
      <c r="C27" s="18">
        <v>9899.5</v>
      </c>
      <c r="D27" s="19">
        <v>1.8</v>
      </c>
      <c r="E27" s="19">
        <v>9.1999999999999993</v>
      </c>
    </row>
    <row r="28" spans="1:6" ht="16.5" customHeight="1" x14ac:dyDescent="0.3">
      <c r="A28" s="17">
        <v>5</v>
      </c>
      <c r="B28" s="18">
        <v>320582021</v>
      </c>
      <c r="C28" s="18">
        <v>9914</v>
      </c>
      <c r="D28" s="19">
        <v>1.8</v>
      </c>
      <c r="E28" s="19">
        <v>9.1999999999999993</v>
      </c>
    </row>
    <row r="29" spans="1:6" ht="16.5" customHeight="1" x14ac:dyDescent="0.3">
      <c r="A29" s="17">
        <v>6</v>
      </c>
      <c r="B29" s="21">
        <v>320604363</v>
      </c>
      <c r="C29" s="21">
        <v>9944.1</v>
      </c>
      <c r="D29" s="22">
        <v>1.8</v>
      </c>
      <c r="E29" s="22">
        <v>9.1999999999999993</v>
      </c>
    </row>
    <row r="30" spans="1:6" ht="16.5" customHeight="1" x14ac:dyDescent="0.3">
      <c r="A30" s="23" t="s">
        <v>18</v>
      </c>
      <c r="B30" s="24">
        <f>AVERAGE(B24:B29)</f>
        <v>320626371.5</v>
      </c>
      <c r="C30" s="25">
        <f>AVERAGE(C24:C29)</f>
        <v>9926.9999999999982</v>
      </c>
      <c r="D30" s="26">
        <f>AVERAGE(D24:D29)</f>
        <v>1.8</v>
      </c>
      <c r="E30" s="26">
        <f>AVERAGE(E24:E29)</f>
        <v>9.2000000000000011</v>
      </c>
    </row>
    <row r="31" spans="1:6" ht="16.5" customHeight="1" x14ac:dyDescent="0.3">
      <c r="A31" s="27" t="s">
        <v>19</v>
      </c>
      <c r="B31" s="28">
        <f>(STDEV(B24:B29)/B30)</f>
        <v>4.6506847361802339E-4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B41/100*2/100</f>
        <v>4.1799999999999997E-3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4862664</v>
      </c>
      <c r="C45" s="18">
        <v>8302</v>
      </c>
      <c r="D45" s="19">
        <v>1.5</v>
      </c>
      <c r="E45" s="20">
        <v>4.2</v>
      </c>
    </row>
    <row r="46" spans="1:6" ht="16.5" customHeight="1" x14ac:dyDescent="0.3">
      <c r="A46" s="17">
        <v>2</v>
      </c>
      <c r="B46" s="18">
        <v>4910284</v>
      </c>
      <c r="C46" s="18">
        <v>8276.9</v>
      </c>
      <c r="D46" s="19">
        <v>1.5</v>
      </c>
      <c r="E46" s="19">
        <v>4.2</v>
      </c>
    </row>
    <row r="47" spans="1:6" ht="16.5" customHeight="1" x14ac:dyDescent="0.3">
      <c r="A47" s="17">
        <v>3</v>
      </c>
      <c r="B47" s="18">
        <v>4955427</v>
      </c>
      <c r="C47" s="18">
        <v>8348.6</v>
      </c>
      <c r="D47" s="19">
        <v>1.5</v>
      </c>
      <c r="E47" s="19">
        <v>4.2</v>
      </c>
    </row>
    <row r="48" spans="1:6" ht="16.5" customHeight="1" x14ac:dyDescent="0.3">
      <c r="A48" s="17">
        <v>4</v>
      </c>
      <c r="B48" s="18">
        <v>4974525</v>
      </c>
      <c r="C48" s="18">
        <v>8346.9</v>
      </c>
      <c r="D48" s="19">
        <v>1.4</v>
      </c>
      <c r="E48" s="19">
        <v>4.2</v>
      </c>
    </row>
    <row r="49" spans="1:7" ht="16.5" customHeight="1" x14ac:dyDescent="0.3">
      <c r="A49" s="17">
        <v>5</v>
      </c>
      <c r="B49" s="18">
        <v>4961650</v>
      </c>
      <c r="C49" s="18">
        <v>8346.1</v>
      </c>
      <c r="D49" s="19">
        <v>1.5</v>
      </c>
      <c r="E49" s="19">
        <v>4.2</v>
      </c>
    </row>
    <row r="50" spans="1:7" ht="16.5" customHeight="1" x14ac:dyDescent="0.3">
      <c r="A50" s="17">
        <v>6</v>
      </c>
      <c r="B50" s="21">
        <v>4989504</v>
      </c>
      <c r="C50" s="21">
        <v>8316</v>
      </c>
      <c r="D50" s="22">
        <v>1.5</v>
      </c>
      <c r="E50" s="22">
        <v>4.2</v>
      </c>
    </row>
    <row r="51" spans="1:7" ht="16.5" customHeight="1" x14ac:dyDescent="0.3">
      <c r="A51" s="23" t="s">
        <v>18</v>
      </c>
      <c r="B51" s="24">
        <f>AVERAGE(B45:B50)</f>
        <v>4942342.333333333</v>
      </c>
      <c r="C51" s="25">
        <f>AVERAGE(C45:C50)</f>
        <v>8322.75</v>
      </c>
      <c r="D51" s="26">
        <f>AVERAGE(D45:D50)</f>
        <v>1.4833333333333334</v>
      </c>
      <c r="E51" s="26">
        <f>AVERAGE(E45:E50)</f>
        <v>4.2</v>
      </c>
    </row>
    <row r="52" spans="1:7" ht="16.5" customHeight="1" x14ac:dyDescent="0.3">
      <c r="A52" s="27" t="s">
        <v>19</v>
      </c>
      <c r="B52" s="28">
        <f>(STDEV(B45:B50)/B51)</f>
        <v>9.5677361772829629E-3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207.82</v>
      </c>
      <c r="D24" s="87">
        <f t="shared" ref="D24:D43" si="0">(C24-$C$46)/$C$46</f>
        <v>3.0769973332687851E-3</v>
      </c>
      <c r="E24" s="53"/>
    </row>
    <row r="25" spans="1:5" ht="15.75" customHeight="1" x14ac:dyDescent="0.3">
      <c r="C25" s="95">
        <v>209.14</v>
      </c>
      <c r="D25" s="88">
        <f t="shared" si="0"/>
        <v>9.4481918115668709E-3</v>
      </c>
      <c r="E25" s="53"/>
    </row>
    <row r="26" spans="1:5" ht="15.75" customHeight="1" x14ac:dyDescent="0.3">
      <c r="C26" s="95">
        <v>206.24</v>
      </c>
      <c r="D26" s="88">
        <f t="shared" si="0"/>
        <v>-4.5491293907546429E-3</v>
      </c>
      <c r="E26" s="53"/>
    </row>
    <row r="27" spans="1:5" ht="15.75" customHeight="1" x14ac:dyDescent="0.3">
      <c r="C27" s="95">
        <v>207.63</v>
      </c>
      <c r="D27" s="88">
        <f t="shared" si="0"/>
        <v>2.1599314613925521E-3</v>
      </c>
      <c r="E27" s="53"/>
    </row>
    <row r="28" spans="1:5" ht="15.75" customHeight="1" x14ac:dyDescent="0.3">
      <c r="C28" s="95">
        <v>205.02</v>
      </c>
      <c r="D28" s="88">
        <f t="shared" si="0"/>
        <v>-1.0437657620696837E-2</v>
      </c>
      <c r="E28" s="53"/>
    </row>
    <row r="29" spans="1:5" ht="15.75" customHeight="1" x14ac:dyDescent="0.3">
      <c r="C29" s="95">
        <v>207.01</v>
      </c>
      <c r="D29" s="88">
        <f t="shared" si="0"/>
        <v>-8.3259927841416157E-4</v>
      </c>
      <c r="E29" s="53"/>
    </row>
    <row r="30" spans="1:5" ht="15.75" customHeight="1" x14ac:dyDescent="0.3">
      <c r="C30" s="95">
        <v>208.72</v>
      </c>
      <c r="D30" s="88">
        <f t="shared" si="0"/>
        <v>7.4209935684720748E-3</v>
      </c>
      <c r="E30" s="53"/>
    </row>
    <row r="31" spans="1:5" ht="15.75" customHeight="1" x14ac:dyDescent="0.3">
      <c r="C31" s="95">
        <v>206.67</v>
      </c>
      <c r="D31" s="88">
        <f t="shared" si="0"/>
        <v>-2.4736645228242995E-3</v>
      </c>
      <c r="E31" s="53"/>
    </row>
    <row r="32" spans="1:5" ht="15.75" customHeight="1" x14ac:dyDescent="0.3">
      <c r="C32" s="95">
        <v>207.16</v>
      </c>
      <c r="D32" s="88">
        <f t="shared" si="0"/>
        <v>-1.0859990588025714E-4</v>
      </c>
      <c r="E32" s="53"/>
    </row>
    <row r="33" spans="1:7" ht="15.75" customHeight="1" x14ac:dyDescent="0.3">
      <c r="C33" s="95">
        <v>207.08</v>
      </c>
      <c r="D33" s="88">
        <f t="shared" si="0"/>
        <v>-4.9473290456491473E-4</v>
      </c>
      <c r="E33" s="53"/>
    </row>
    <row r="34" spans="1:7" ht="15.75" customHeight="1" x14ac:dyDescent="0.3">
      <c r="C34" s="95">
        <v>206.44</v>
      </c>
      <c r="D34" s="88">
        <f t="shared" si="0"/>
        <v>-3.5837968940428612E-3</v>
      </c>
      <c r="E34" s="53"/>
    </row>
    <row r="35" spans="1:7" ht="15.75" customHeight="1" x14ac:dyDescent="0.3">
      <c r="C35" s="95">
        <v>206.41</v>
      </c>
      <c r="D35" s="88">
        <f t="shared" si="0"/>
        <v>-3.7285967685496422E-3</v>
      </c>
      <c r="E35" s="53"/>
    </row>
    <row r="36" spans="1:7" ht="15.75" customHeight="1" x14ac:dyDescent="0.3">
      <c r="C36" s="95">
        <v>203.87</v>
      </c>
      <c r="D36" s="88">
        <f t="shared" si="0"/>
        <v>-1.5988319476789921E-2</v>
      </c>
      <c r="E36" s="53"/>
    </row>
    <row r="37" spans="1:7" ht="15.75" customHeight="1" x14ac:dyDescent="0.3">
      <c r="C37" s="95">
        <v>206.06</v>
      </c>
      <c r="D37" s="88">
        <f t="shared" si="0"/>
        <v>-5.4179286377953276E-3</v>
      </c>
      <c r="E37" s="53"/>
    </row>
    <row r="38" spans="1:7" ht="15.75" customHeight="1" x14ac:dyDescent="0.3">
      <c r="C38" s="95">
        <v>206.41</v>
      </c>
      <c r="D38" s="88">
        <f t="shared" si="0"/>
        <v>-3.7285967685496422E-3</v>
      </c>
      <c r="E38" s="53"/>
    </row>
    <row r="39" spans="1:7" ht="15.75" customHeight="1" x14ac:dyDescent="0.3">
      <c r="C39" s="95">
        <v>207.61</v>
      </c>
      <c r="D39" s="88">
        <f t="shared" si="0"/>
        <v>2.063398211721456E-3</v>
      </c>
      <c r="E39" s="53"/>
    </row>
    <row r="40" spans="1:7" ht="15.75" customHeight="1" x14ac:dyDescent="0.3">
      <c r="C40" s="95">
        <v>208.52</v>
      </c>
      <c r="D40" s="88">
        <f t="shared" si="0"/>
        <v>6.4556610717602936E-3</v>
      </c>
      <c r="E40" s="53"/>
    </row>
    <row r="41" spans="1:7" ht="15.75" customHeight="1" x14ac:dyDescent="0.3">
      <c r="C41" s="95">
        <v>209.11</v>
      </c>
      <c r="D41" s="88">
        <f t="shared" si="0"/>
        <v>9.3033919370602257E-3</v>
      </c>
      <c r="E41" s="53"/>
    </row>
    <row r="42" spans="1:7" ht="15.75" customHeight="1" x14ac:dyDescent="0.3">
      <c r="C42" s="95">
        <v>209.84</v>
      </c>
      <c r="D42" s="88">
        <f t="shared" si="0"/>
        <v>1.2826855550058379E-2</v>
      </c>
      <c r="E42" s="53"/>
    </row>
    <row r="43" spans="1:7" ht="16.5" customHeight="1" x14ac:dyDescent="0.3">
      <c r="C43" s="96">
        <v>206.89</v>
      </c>
      <c r="D43" s="89">
        <f t="shared" si="0"/>
        <v>-1.4117987764412851E-3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4143.6500000000005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207.18250000000003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207.18250000000003</v>
      </c>
      <c r="C49" s="93">
        <f>-IF(C46&lt;=80,10%,IF(C46&lt;250,7.5%,5%))</f>
        <v>-7.4999999999999997E-2</v>
      </c>
      <c r="D49" s="81">
        <f>IF(C46&lt;=80,C46*0.9,IF(C46&lt;250,C46*0.925,C46*0.95))</f>
        <v>191.64381250000005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222.72118750000001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87" zoomScale="55" zoomScaleNormal="40" zoomScalePageLayoutView="55" workbookViewId="0">
      <selection activeCell="G115" sqref="G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125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9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317758940</v>
      </c>
      <c r="E38" s="133">
        <f>IF(ISBLANK(D38),"-",$D$48/$D$45*D38)</f>
        <v>303378495.9151271</v>
      </c>
      <c r="F38" s="132">
        <v>292732368</v>
      </c>
      <c r="G38" s="134">
        <f>IF(ISBLANK(F38),"-",$D$48/$F$45*F38)</f>
        <v>302546679.74422282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318553883</v>
      </c>
      <c r="E39" s="138">
        <f>IF(ISBLANK(D39),"-",$D$48/$D$45*D39)</f>
        <v>304137463.11107212</v>
      </c>
      <c r="F39" s="137">
        <v>293098439</v>
      </c>
      <c r="G39" s="139">
        <f>IF(ISBLANK(F39),"-",$D$48/$F$45*F39)</f>
        <v>302925023.84862554</v>
      </c>
      <c r="I39" s="307">
        <f>ABS((F43/D43*D42)-F42)/D42</f>
        <v>3.5244872762466347E-3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318948914</v>
      </c>
      <c r="E40" s="138">
        <f>IF(ISBLANK(D40),"-",$D$48/$D$45*D40)</f>
        <v>304514616.65589404</v>
      </c>
      <c r="F40" s="137">
        <v>293247601</v>
      </c>
      <c r="G40" s="139">
        <f>IF(ISBLANK(F40),"-",$D$48/$F$45*F40)</f>
        <v>303079186.7386139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318420579</v>
      </c>
      <c r="E42" s="148">
        <f>AVERAGE(E38:E41)</f>
        <v>304010191.89403111</v>
      </c>
      <c r="F42" s="147">
        <f>AVERAGE(F38:F41)</f>
        <v>293026136</v>
      </c>
      <c r="G42" s="149">
        <f>AVERAGE(G38:G41)</f>
        <v>302850296.77715403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20.99</v>
      </c>
      <c r="E43" s="140"/>
      <c r="F43" s="152">
        <v>19.39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20.99</v>
      </c>
      <c r="E44" s="155"/>
      <c r="F44" s="154">
        <f>F43*$B$34</f>
        <v>19.39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</v>
      </c>
      <c r="C45" s="153" t="s">
        <v>77</v>
      </c>
      <c r="D45" s="157">
        <f>D44*$B$30/100</f>
        <v>20.948019999999996</v>
      </c>
      <c r="E45" s="158"/>
      <c r="F45" s="157">
        <f>F44*$B$30/100</f>
        <v>19.351220000000001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0.10474009999999997</v>
      </c>
      <c r="E46" s="160"/>
      <c r="F46" s="161">
        <f>F45/$B$45</f>
        <v>9.6756100000000012E-2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303430244.33559257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2.4828631138242496E-3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Risperidone 2 mg
Risperidone Ph.Eur. 2 mg</v>
      </c>
    </row>
    <row r="56" spans="1:12" ht="26.25" customHeight="1" x14ac:dyDescent="0.4">
      <c r="A56" s="177" t="s">
        <v>87</v>
      </c>
      <c r="B56" s="178">
        <v>2</v>
      </c>
      <c r="C56" s="99" t="str">
        <f>B20</f>
        <v>Risperidone</v>
      </c>
      <c r="H56" s="179"/>
    </row>
    <row r="57" spans="1:12" ht="18.75" x14ac:dyDescent="0.3">
      <c r="A57" s="176" t="s">
        <v>88</v>
      </c>
      <c r="B57" s="268">
        <f>Uniformity!C46</f>
        <v>207.18250000000003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0" t="s">
        <v>94</v>
      </c>
      <c r="D60" s="313">
        <v>206.93</v>
      </c>
      <c r="E60" s="182">
        <v>1</v>
      </c>
      <c r="F60" s="183">
        <v>306940441</v>
      </c>
      <c r="G60" s="269">
        <f>IF(ISBLANK(F60),"-",(F60/$D$50*$D$47*$B$68)*($B$57/$D$60))</f>
        <v>2.0256054326621982</v>
      </c>
      <c r="H60" s="184">
        <f t="shared" ref="H60:H71" si="0">IF(ISBLANK(F60),"-",G60/$B$56)</f>
        <v>1.0128027163310991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11"/>
      <c r="D61" s="314"/>
      <c r="E61" s="185">
        <v>2</v>
      </c>
      <c r="F61" s="137">
        <v>306727563</v>
      </c>
      <c r="G61" s="270">
        <f>IF(ISBLANK(F61),"-",(F61/$D$50*$D$47*$B$68)*($B$57/$D$60))</f>
        <v>2.024200577596865</v>
      </c>
      <c r="H61" s="186">
        <f t="shared" si="0"/>
        <v>1.0121002887984325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307222771</v>
      </c>
      <c r="G62" s="270">
        <f>IF(ISBLANK(F62),"-",(F62/$D$50*$D$47*$B$68)*($B$57/$D$60))</f>
        <v>2.0274686253387322</v>
      </c>
      <c r="H62" s="186">
        <f t="shared" si="0"/>
        <v>1.0137343126693661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206</v>
      </c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20</v>
      </c>
      <c r="C68" s="310" t="s">
        <v>104</v>
      </c>
      <c r="D68" s="313">
        <v>207.21</v>
      </c>
      <c r="E68" s="182">
        <v>1</v>
      </c>
      <c r="F68" s="183">
        <v>306209209</v>
      </c>
      <c r="G68" s="271">
        <f>IF(ISBLANK(F68),"-",(F68/$D$50*$D$47*$B$68)*($B$57/$D$68))</f>
        <v>2.0180491297479666</v>
      </c>
      <c r="H68" s="186">
        <f t="shared" si="0"/>
        <v>1.0090245648739833</v>
      </c>
    </row>
    <row r="69" spans="1:8" ht="27" customHeight="1" x14ac:dyDescent="0.4">
      <c r="A69" s="172" t="s">
        <v>105</v>
      </c>
      <c r="B69" s="194">
        <f>(D47*B68)/B56*B57</f>
        <v>207.18250000000003</v>
      </c>
      <c r="C69" s="311"/>
      <c r="D69" s="314"/>
      <c r="E69" s="185">
        <v>2</v>
      </c>
      <c r="F69" s="137">
        <v>305097464</v>
      </c>
      <c r="G69" s="272">
        <f>IF(ISBLANK(F69),"-",(F69/$D$50*$D$47*$B$68)*($B$57/$D$68))</f>
        <v>2.0107222566043452</v>
      </c>
      <c r="H69" s="186">
        <f t="shared" si="0"/>
        <v>1.0053611283021726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305342162</v>
      </c>
      <c r="G70" s="272">
        <f>IF(ISBLANK(F70),"-",(F70/$D$50*$D$47*$B$68)*($B$57/$D$68))</f>
        <v>2.0123349206635472</v>
      </c>
      <c r="H70" s="186">
        <f t="shared" si="0"/>
        <v>1.0061674603317736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2.0197301571022757</v>
      </c>
      <c r="H72" s="199">
        <f>AVERAGE(H60:H71)</f>
        <v>1.0098650785511378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3.5222532522105961E-3</v>
      </c>
      <c r="H73" s="274">
        <f>STDEV(H60:H71)/H72</f>
        <v>3.5222532522105961E-3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Risperidone</v>
      </c>
      <c r="D76" s="297"/>
      <c r="E76" s="205" t="s">
        <v>108</v>
      </c>
      <c r="F76" s="205"/>
      <c r="G76" s="206">
        <f>H72</f>
        <v>1.0098650785511378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Risperidone</v>
      </c>
      <c r="C79" s="320"/>
    </row>
    <row r="80" spans="1:8" ht="26.25" customHeight="1" x14ac:dyDescent="0.4">
      <c r="A80" s="109" t="s">
        <v>48</v>
      </c>
      <c r="B80" s="320" t="str">
        <f>B27</f>
        <v>R17 1</v>
      </c>
      <c r="C80" s="320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2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5248909</v>
      </c>
      <c r="E91" s="133">
        <f>IF(ISBLANK(D91),"-",$D$101/$D$98*D91)</f>
        <v>5032945.3164702617</v>
      </c>
      <c r="F91" s="132">
        <v>5383329</v>
      </c>
      <c r="G91" s="134">
        <f>IF(ISBLANK(F91),"-",$D$101/$F$98*F91)</f>
        <v>5096001.1662436817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5285988</v>
      </c>
      <c r="E92" s="138">
        <f>IF(ISBLANK(D92),"-",$D$101/$D$98*D92)</f>
        <v>5068498.7199278949</v>
      </c>
      <c r="F92" s="137">
        <v>5372609</v>
      </c>
      <c r="G92" s="139">
        <f>IF(ISBLANK(F92),"-",$D$101/$F$98*F92)</f>
        <v>5085853.3316041622</v>
      </c>
      <c r="I92" s="307">
        <f>ABS((F96/D96*D95)-F95)/D95</f>
        <v>6.5527790458274563E-3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5296701</v>
      </c>
      <c r="E93" s="138">
        <f>IF(ISBLANK(D93),"-",$D$101/$D$98*D93)</f>
        <v>5078770.9390072012</v>
      </c>
      <c r="F93" s="137">
        <v>5383924</v>
      </c>
      <c r="G93" s="139">
        <f>IF(ISBLANK(F93),"-",$D$101/$F$98*F93)</f>
        <v>5096564.4089312302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5277199.333333333</v>
      </c>
      <c r="E95" s="148">
        <f>AVERAGE(E91:E94)</f>
        <v>5060071.6584684523</v>
      </c>
      <c r="F95" s="218">
        <f>AVERAGE(F91:F94)</f>
        <v>5379954</v>
      </c>
      <c r="G95" s="219">
        <f>AVERAGE(G91:G94)</f>
        <v>5092806.3022596911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20.9</v>
      </c>
      <c r="E96" s="140"/>
      <c r="F96" s="152">
        <v>21.17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20.9</v>
      </c>
      <c r="E97" s="155"/>
      <c r="F97" s="154">
        <f>F96*$B$87</f>
        <v>21.17</v>
      </c>
    </row>
    <row r="98" spans="1:10" ht="19.5" customHeight="1" x14ac:dyDescent="0.3">
      <c r="A98" s="124" t="s">
        <v>76</v>
      </c>
      <c r="B98" s="224">
        <f>(B97/B96)*(B95/B94)*(B93/B92)*(B91/B90)*B89</f>
        <v>5000</v>
      </c>
      <c r="C98" s="222" t="s">
        <v>115</v>
      </c>
      <c r="D98" s="225">
        <f>D97*$B$83/100</f>
        <v>20.858199999999997</v>
      </c>
      <c r="E98" s="158"/>
      <c r="F98" s="157">
        <f>F97*$B$83/100</f>
        <v>21.127660000000002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4.171639999999999E-3</v>
      </c>
      <c r="E99" s="158"/>
      <c r="F99" s="161">
        <f>F98/$B$98</f>
        <v>4.2255320000000006E-3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4.0000000000000001E-3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20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20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5076438.9803640712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4.6919054883856129E-3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500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5384565</v>
      </c>
      <c r="E108" s="275">
        <f t="shared" ref="E108:E113" si="1">IF(ISBLANK(D108),"-",D108/$D$103*$D$100*$B$116)</f>
        <v>2.121394552688519</v>
      </c>
      <c r="F108" s="245">
        <f t="shared" ref="F108:F113" si="2">IF(ISBLANK(D108), "-", E108/$B$56)</f>
        <v>1.0606972763442595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4869881</v>
      </c>
      <c r="E109" s="276">
        <f t="shared" si="1"/>
        <v>1.9186209147148037</v>
      </c>
      <c r="F109" s="246">
        <f t="shared" si="2"/>
        <v>0.95931045735740184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4819518</v>
      </c>
      <c r="E110" s="276">
        <f t="shared" si="1"/>
        <v>1.8987790530496458</v>
      </c>
      <c r="F110" s="246">
        <f t="shared" si="2"/>
        <v>0.94938952652482289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5348243</v>
      </c>
      <c r="E111" s="276">
        <f t="shared" si="1"/>
        <v>2.107084521526716</v>
      </c>
      <c r="F111" s="246">
        <f t="shared" si="2"/>
        <v>1.053542260763358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4911679</v>
      </c>
      <c r="E112" s="276">
        <f t="shared" si="1"/>
        <v>1.935088363712685</v>
      </c>
      <c r="F112" s="246">
        <f t="shared" si="2"/>
        <v>0.9675441818563425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4867754</v>
      </c>
      <c r="E113" s="277">
        <f t="shared" si="1"/>
        <v>1.9177829257196726</v>
      </c>
      <c r="F113" s="249">
        <f t="shared" si="2"/>
        <v>0.95889146285983629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1.9831250552353403</v>
      </c>
      <c r="F115" s="252">
        <f>AVERAGE(F108:F113)</f>
        <v>0.99156252761767016</v>
      </c>
    </row>
    <row r="116" spans="1:10" ht="27" customHeight="1" x14ac:dyDescent="0.4">
      <c r="A116" s="124" t="s">
        <v>103</v>
      </c>
      <c r="B116" s="156">
        <f>(B115/B114)*(B113/B112)*(B111/B110)*(B109/B108)*B107</f>
        <v>500</v>
      </c>
      <c r="C116" s="253"/>
      <c r="D116" s="216" t="s">
        <v>84</v>
      </c>
      <c r="E116" s="254">
        <f>STDEV(E108:E113)/E115</f>
        <v>5.1590228849918533E-2</v>
      </c>
      <c r="F116" s="254">
        <f>STDEV(F108:F113)/F115</f>
        <v>5.1590228849918533E-2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Risperidone</v>
      </c>
      <c r="D120" s="297"/>
      <c r="E120" s="205" t="s">
        <v>124</v>
      </c>
      <c r="F120" s="205"/>
      <c r="G120" s="206">
        <f>F115</f>
        <v>0.99156252761767016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RISPERIDONE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2016-02-12T06:47:00Z</dcterms:modified>
</cp:coreProperties>
</file>