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2" r:id="rId2"/>
    <sheet name="BETAHISTINE DIHYDROCHLORID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42" i="1" l="1"/>
  <c r="B21" i="1"/>
  <c r="G81" i="3"/>
  <c r="G79" i="3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G92" i="3" s="1"/>
  <c r="I92" i="3"/>
  <c r="D97" i="3"/>
  <c r="I39" i="3"/>
  <c r="F44" i="3"/>
  <c r="D102" i="3"/>
  <c r="D49" i="3"/>
  <c r="D45" i="3"/>
  <c r="E38" i="3" s="1"/>
  <c r="F45" i="3"/>
  <c r="F46" i="3" s="1"/>
  <c r="D46" i="3"/>
  <c r="D98" i="3"/>
  <c r="E92" i="3" s="1"/>
  <c r="F98" i="3"/>
  <c r="G94" i="3" s="1"/>
  <c r="D27" i="2"/>
  <c r="D35" i="2"/>
  <c r="D43" i="2"/>
  <c r="D25" i="2"/>
  <c r="D33" i="2"/>
  <c r="D37" i="2"/>
  <c r="D41" i="2"/>
  <c r="C50" i="2"/>
  <c r="D31" i="2"/>
  <c r="D39" i="2"/>
  <c r="C49" i="2"/>
  <c r="D24" i="2"/>
  <c r="D28" i="2"/>
  <c r="D32" i="2"/>
  <c r="D36" i="2"/>
  <c r="D40" i="2"/>
  <c r="D49" i="2"/>
  <c r="E41" i="3"/>
  <c r="B57" i="3"/>
  <c r="B69" i="3" s="1"/>
  <c r="D29" i="2"/>
  <c r="D26" i="2"/>
  <c r="D30" i="2"/>
  <c r="D34" i="2"/>
  <c r="D38" i="2"/>
  <c r="D42" i="2"/>
  <c r="B49" i="2"/>
  <c r="E40" i="3"/>
  <c r="G93" i="3" l="1"/>
  <c r="G39" i="3"/>
  <c r="G38" i="3"/>
  <c r="G41" i="3"/>
  <c r="E91" i="3"/>
  <c r="G40" i="3"/>
  <c r="E39" i="3"/>
  <c r="E42" i="3" s="1"/>
  <c r="G91" i="3"/>
  <c r="F99" i="3"/>
  <c r="D99" i="3"/>
  <c r="E93" i="3"/>
  <c r="G95" i="3" l="1"/>
  <c r="E95" i="3"/>
  <c r="D52" i="3"/>
  <c r="G42" i="3"/>
  <c r="D103" i="3"/>
  <c r="E113" i="3" s="1"/>
  <c r="F113" i="3" s="1"/>
  <c r="D105" i="3"/>
  <c r="D50" i="3"/>
  <c r="G68" i="3" s="1"/>
  <c r="H68" i="3" s="1"/>
  <c r="D104" i="3" l="1"/>
  <c r="E111" i="3"/>
  <c r="F111" i="3" s="1"/>
  <c r="E108" i="3"/>
  <c r="F108" i="3" s="1"/>
  <c r="E110" i="3"/>
  <c r="F110" i="3" s="1"/>
  <c r="E109" i="3"/>
  <c r="F109" i="3" s="1"/>
  <c r="E112" i="3"/>
  <c r="F112" i="3" s="1"/>
  <c r="G61" i="3"/>
  <c r="H61" i="3" s="1"/>
  <c r="G70" i="3"/>
  <c r="H70" i="3" s="1"/>
  <c r="G62" i="3"/>
  <c r="H62" i="3" s="1"/>
  <c r="G63" i="3"/>
  <c r="H63" i="3" s="1"/>
  <c r="G64" i="3"/>
  <c r="H64" i="3" s="1"/>
  <c r="G69" i="3"/>
  <c r="H69" i="3" s="1"/>
  <c r="G65" i="3"/>
  <c r="H65" i="3" s="1"/>
  <c r="D51" i="3"/>
  <c r="G71" i="3"/>
  <c r="H71" i="3" s="1"/>
  <c r="G66" i="3"/>
  <c r="H66" i="3" s="1"/>
  <c r="G67" i="3"/>
  <c r="H67" i="3" s="1"/>
  <c r="G60" i="3"/>
  <c r="H60" i="3" s="1"/>
  <c r="E115" i="3" l="1"/>
  <c r="E116" i="3" s="1"/>
  <c r="E117" i="3"/>
  <c r="G74" i="3"/>
  <c r="G72" i="3"/>
  <c r="G73" i="3" s="1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<sst xmlns="http://schemas.openxmlformats.org/spreadsheetml/2006/main" count="237" uniqueCount="130">
  <si>
    <t>HPLC System Suitability Report</t>
  </si>
  <si>
    <t>Analysis Data</t>
  </si>
  <si>
    <t>Assay</t>
  </si>
  <si>
    <t>Sample(s)</t>
  </si>
  <si>
    <t>Reference Substance:</t>
  </si>
  <si>
    <t>BE-STEDY 16</t>
  </si>
  <si>
    <t>% age Purity:</t>
  </si>
  <si>
    <t>NDQD201509263</t>
  </si>
  <si>
    <t>Weight (mg):</t>
  </si>
  <si>
    <t>Betahistine Dihydrochloride BP 16mg</t>
  </si>
  <si>
    <t>Standard Conc (mg/mL):</t>
  </si>
  <si>
    <t>Each uncoated tablet contains:
Betahistine dihydrochloride Ph.Eur 16 mg</t>
  </si>
  <si>
    <t>2015-09-09 11:58:24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</si>
  <si>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</si>
  <si>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</si>
  <si>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</si>
  <si>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</si>
  <si>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</si>
  <si>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</si>
  <si>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</si>
  <si>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</si>
  <si>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</si>
  <si>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</si>
  <si>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</si>
  <si>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</si>
  <si>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</si>
  <si>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</si>
  <si>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</si>
  <si>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</si>
  <si>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</si>
  <si>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</si>
  <si>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</si>
  <si>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</si>
  <si>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</si>
  <si>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</si>
  <si>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</si>
  <si>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</si>
  <si>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</si>
  <si>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</si>
  <si>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</si>
  <si>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</si>
  <si>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</si>
  <si>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</si>
  <si>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</si>
  <si>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</si>
  <si>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</si>
  <si>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</si>
  <si>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</si>
  <si>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</si>
  <si>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</si>
  <si>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</si>
  <si>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</si>
  <si>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</si>
  <si>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</si>
  <si>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</si>
  <si>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</si>
  <si>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</si>
  <si>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</si>
  <si>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</si>
  <si>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</si>
  <si>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</si>
  <si>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</si>
  <si>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</si>
  <si>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</si>
  <si>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</si>
  <si>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</si>
  <si>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</si>
  <si>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</si>
  <si>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</si>
  <si>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</si>
  <si>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</si>
  <si>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</si>
  <si>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</si>
  <si>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</si>
  <si>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</si>
  <si>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</si>
  <si>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</si>
  <si>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</si>
  <si>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</si>
  <si>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</si>
  <si>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</si>
  <si>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</si>
  <si>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</si>
  <si>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</si>
  <si>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</si>
  <si>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</si>
  <si>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</si>
  <si>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</si>
  <si>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</si>
  <si>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</si>
  <si>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</si>
  <si>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</si>
  <si>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</si>
  <si>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</si>
  <si>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</si>
  <si>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</si>
  <si>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</si>
  <si>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</si>
  <si>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</si>
  <si>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</si>
  <si>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</si>
  <si>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</si>
  <si>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</si>
  <si>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</si>
  <si>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</si>
  <si>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</si>
  <si>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</si>
  <si>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</si>
  <si>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</si>
  <si>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</si>
  <si>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</si>
  <si>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</si>
  <si>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</si>
  <si>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</si>
  <si>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</si>
  <si>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</si>
  <si>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</si>
  <si>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</si>
  <si>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</si>
  <si>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</si>
  <si>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</si>
  <si>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</si>
  <si>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</si>
  <si>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</si>
  <si>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</si>
  <si>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Betahistine dihydrochloride</t>
  </si>
  <si>
    <t>B17 1</t>
  </si>
  <si>
    <t xml:space="preserve">Betahistine Dihydrochloride </t>
  </si>
  <si>
    <t>Each uncoated tablet contains: 16 mg Betahistine dihydrochloride
Betahistine dihydrochloride Ph.Eur 16 mg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</si>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</sst>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12" fillId="2" borderId="11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9" workbookViewId="0">
      <selection activeCell="E67" sqref="E6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79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B20/25*10/25</f>
        <v>0.33439999999999998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83390809</v>
      </c>
      <c r="C24" s="18">
        <v>8108.1</v>
      </c>
      <c r="D24" s="19">
        <v>1.3</v>
      </c>
      <c r="E24" s="20">
        <v>4.2</v>
      </c>
    </row>
    <row r="25" spans="1:6" ht="16.5" customHeight="1" x14ac:dyDescent="0.3">
      <c r="A25" s="17">
        <v>2</v>
      </c>
      <c r="B25" s="18">
        <v>83189799</v>
      </c>
      <c r="C25" s="18">
        <v>8064.6</v>
      </c>
      <c r="D25" s="19">
        <v>1.2</v>
      </c>
      <c r="E25" s="19">
        <v>4.2</v>
      </c>
    </row>
    <row r="26" spans="1:6" ht="16.5" customHeight="1" x14ac:dyDescent="0.3">
      <c r="A26" s="17">
        <v>3</v>
      </c>
      <c r="B26" s="18">
        <v>83030940</v>
      </c>
      <c r="C26" s="18">
        <v>8070.9</v>
      </c>
      <c r="D26" s="19">
        <v>1.3</v>
      </c>
      <c r="E26" s="19">
        <v>4.2</v>
      </c>
    </row>
    <row r="27" spans="1:6" ht="16.5" customHeight="1" x14ac:dyDescent="0.3">
      <c r="A27" s="17">
        <v>4</v>
      </c>
      <c r="B27" s="18">
        <v>83285948</v>
      </c>
      <c r="C27" s="18">
        <v>8125.8</v>
      </c>
      <c r="D27" s="19">
        <v>1.3</v>
      </c>
      <c r="E27" s="19">
        <v>4.2</v>
      </c>
    </row>
    <row r="28" spans="1:6" ht="16.5" customHeight="1" x14ac:dyDescent="0.3">
      <c r="A28" s="17">
        <v>5</v>
      </c>
      <c r="B28" s="18">
        <v>83103219</v>
      </c>
      <c r="C28" s="18">
        <v>8137.6</v>
      </c>
      <c r="D28" s="19">
        <v>1.3</v>
      </c>
      <c r="E28" s="19">
        <v>4.2</v>
      </c>
    </row>
    <row r="29" spans="1:6" ht="16.5" customHeight="1" x14ac:dyDescent="0.3">
      <c r="A29" s="17">
        <v>6</v>
      </c>
      <c r="B29" s="21">
        <v>82948846</v>
      </c>
      <c r="C29" s="21">
        <v>8185</v>
      </c>
      <c r="D29" s="22">
        <v>1.3</v>
      </c>
      <c r="E29" s="22">
        <v>4.2</v>
      </c>
    </row>
    <row r="30" spans="1:6" ht="16.5" customHeight="1" x14ac:dyDescent="0.3">
      <c r="A30" s="23" t="s">
        <v>18</v>
      </c>
      <c r="B30" s="24">
        <f>AVERAGE(B24:B29)</f>
        <v>83158260.166666672</v>
      </c>
      <c r="C30" s="25">
        <f>AVERAGE(C24:C29)</f>
        <v>8115.333333333333</v>
      </c>
      <c r="D30" s="26">
        <f>AVERAGE(D24:D29)</f>
        <v>1.2833333333333332</v>
      </c>
      <c r="E30" s="26">
        <f>AVERAGE(E24:E29)</f>
        <v>4.2</v>
      </c>
    </row>
    <row r="31" spans="1:6" ht="16.5" customHeight="1" x14ac:dyDescent="0.3">
      <c r="A31" s="27" t="s">
        <v>19</v>
      </c>
      <c r="B31" s="28">
        <f>(STDEV(B24:B29)/B30)</f>
        <v>1.9720852223588377E-3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79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B21</f>
        <v>0.33439999999999998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83390809</v>
      </c>
      <c r="C45" s="18">
        <v>8108.1</v>
      </c>
      <c r="D45" s="19">
        <v>1.3</v>
      </c>
      <c r="E45" s="20">
        <v>4.2</v>
      </c>
    </row>
    <row r="46" spans="1:6" ht="16.5" customHeight="1" x14ac:dyDescent="0.3">
      <c r="A46" s="17">
        <v>2</v>
      </c>
      <c r="B46" s="18">
        <v>83189799</v>
      </c>
      <c r="C46" s="18">
        <v>8064.6</v>
      </c>
      <c r="D46" s="19">
        <v>1.2</v>
      </c>
      <c r="E46" s="19">
        <v>4.2</v>
      </c>
    </row>
    <row r="47" spans="1:6" ht="16.5" customHeight="1" x14ac:dyDescent="0.3">
      <c r="A47" s="17">
        <v>3</v>
      </c>
      <c r="B47" s="18">
        <v>83030940</v>
      </c>
      <c r="C47" s="18">
        <v>8070.9</v>
      </c>
      <c r="D47" s="19">
        <v>1.3</v>
      </c>
      <c r="E47" s="19">
        <v>4.2</v>
      </c>
    </row>
    <row r="48" spans="1:6" ht="16.5" customHeight="1" x14ac:dyDescent="0.3">
      <c r="A48" s="17">
        <v>4</v>
      </c>
      <c r="B48" s="18">
        <v>83285948</v>
      </c>
      <c r="C48" s="18">
        <v>8125.8</v>
      </c>
      <c r="D48" s="19">
        <v>1.3</v>
      </c>
      <c r="E48" s="19">
        <v>4.2</v>
      </c>
    </row>
    <row r="49" spans="1:7" ht="16.5" customHeight="1" x14ac:dyDescent="0.3">
      <c r="A49" s="17">
        <v>5</v>
      </c>
      <c r="B49" s="18">
        <v>83103219</v>
      </c>
      <c r="C49" s="18">
        <v>8137.6</v>
      </c>
      <c r="D49" s="19">
        <v>1.3</v>
      </c>
      <c r="E49" s="19">
        <v>4.2</v>
      </c>
    </row>
    <row r="50" spans="1:7" ht="16.5" customHeight="1" x14ac:dyDescent="0.3">
      <c r="A50" s="17">
        <v>6</v>
      </c>
      <c r="B50" s="21">
        <v>82948846</v>
      </c>
      <c r="C50" s="21">
        <v>8185</v>
      </c>
      <c r="D50" s="22">
        <v>1.3</v>
      </c>
      <c r="E50" s="22">
        <v>4.2</v>
      </c>
    </row>
    <row r="51" spans="1:7" ht="16.5" customHeight="1" x14ac:dyDescent="0.3">
      <c r="A51" s="23" t="s">
        <v>18</v>
      </c>
      <c r="B51" s="24">
        <f>AVERAGE(B45:B50)</f>
        <v>83158260.166666672</v>
      </c>
      <c r="C51" s="25">
        <f>AVERAGE(C45:C50)</f>
        <v>8115.333333333333</v>
      </c>
      <c r="D51" s="26">
        <f>AVERAGE(D45:D50)</f>
        <v>1.2833333333333332</v>
      </c>
      <c r="E51" s="26">
        <f>AVERAGE(E45:E50)</f>
        <v>4.2</v>
      </c>
    </row>
    <row r="52" spans="1:7" ht="16.5" customHeight="1" x14ac:dyDescent="0.3">
      <c r="A52" s="27" t="s">
        <v>19</v>
      </c>
      <c r="B52" s="28">
        <f>(STDEV(B45:B50)/B51)</f>
        <v>1.9720852223588377E-3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262" t="s">
        <v>129</v>
      </c>
      <c r="D61" s="225"/>
      <c r="E61" s="330">
        <v>42411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E57" sqref="E5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89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88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5" t="s">
        <v>12</v>
      </c>
    </row>
    <row r="19" spans="1:5" ht="16.5" customHeight="1" x14ac:dyDescent="0.3">
      <c r="A19" s="289" t="s">
        <v>38</v>
      </c>
      <c r="B19" s="289"/>
      <c r="C19" s="95" t="e">
        <f>#REF!</f>
        <v>#REF!</v>
      </c>
    </row>
    <row r="20" spans="1:5" ht="16.5" customHeight="1" x14ac:dyDescent="0.3">
      <c r="A20" s="62"/>
      <c r="B20" s="62"/>
      <c r="C20" s="75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4" t="s">
        <v>40</v>
      </c>
      <c r="D23" s="83" t="s">
        <v>41</v>
      </c>
      <c r="E23" s="52"/>
    </row>
    <row r="24" spans="1:5" ht="15.75" customHeight="1" x14ac:dyDescent="0.3">
      <c r="C24" s="93">
        <v>252.51</v>
      </c>
      <c r="D24" s="85">
        <f t="shared" ref="D24:D43" si="0">(C24-$C$46)/$C$46</f>
        <v>5.775511829841427E-3</v>
      </c>
      <c r="E24" s="53"/>
    </row>
    <row r="25" spans="1:5" ht="15.75" customHeight="1" x14ac:dyDescent="0.3">
      <c r="C25" s="93">
        <v>251.3</v>
      </c>
      <c r="D25" s="86">
        <f t="shared" si="0"/>
        <v>9.5594678562896959E-4</v>
      </c>
      <c r="E25" s="53"/>
    </row>
    <row r="26" spans="1:5" ht="15.75" customHeight="1" x14ac:dyDescent="0.3">
      <c r="C26" s="93">
        <v>247.43</v>
      </c>
      <c r="D26" s="86">
        <f t="shared" si="0"/>
        <v>-1.4458695132637598E-2</v>
      </c>
      <c r="E26" s="53"/>
    </row>
    <row r="27" spans="1:5" ht="15.75" customHeight="1" x14ac:dyDescent="0.3">
      <c r="C27" s="93">
        <v>253.48</v>
      </c>
      <c r="D27" s="86">
        <f t="shared" si="0"/>
        <v>9.6391300884250269E-3</v>
      </c>
      <c r="E27" s="53"/>
    </row>
    <row r="28" spans="1:5" ht="15.75" customHeight="1" x14ac:dyDescent="0.3">
      <c r="C28" s="93">
        <v>248.91</v>
      </c>
      <c r="D28" s="86">
        <f t="shared" si="0"/>
        <v>-8.5636899545925502E-3</v>
      </c>
      <c r="E28" s="53"/>
    </row>
    <row r="29" spans="1:5" ht="15.75" customHeight="1" x14ac:dyDescent="0.3">
      <c r="C29" s="93">
        <v>253.12</v>
      </c>
      <c r="D29" s="86">
        <f t="shared" si="0"/>
        <v>8.205209909981687E-3</v>
      </c>
      <c r="E29" s="53"/>
    </row>
    <row r="30" spans="1:5" ht="15.75" customHeight="1" x14ac:dyDescent="0.3">
      <c r="C30" s="93">
        <v>249.1</v>
      </c>
      <c r="D30" s="86">
        <f t="shared" si="0"/>
        <v>-7.8068987493029873E-3</v>
      </c>
      <c r="E30" s="53"/>
    </row>
    <row r="31" spans="1:5" ht="15.75" customHeight="1" x14ac:dyDescent="0.3">
      <c r="C31" s="93">
        <v>256.77999999999997</v>
      </c>
      <c r="D31" s="86">
        <f t="shared" si="0"/>
        <v>2.2783398390822794E-2</v>
      </c>
      <c r="E31" s="53"/>
    </row>
    <row r="32" spans="1:5" ht="15.75" customHeight="1" x14ac:dyDescent="0.3">
      <c r="C32" s="93">
        <v>252.01</v>
      </c>
      <c r="D32" s="86">
        <f t="shared" si="0"/>
        <v>3.7839560264478159E-3</v>
      </c>
      <c r="E32" s="53"/>
    </row>
    <row r="33" spans="1:7" ht="15.75" customHeight="1" x14ac:dyDescent="0.3">
      <c r="C33" s="93">
        <v>250.51</v>
      </c>
      <c r="D33" s="86">
        <f t="shared" si="0"/>
        <v>-2.1907113837330173E-3</v>
      </c>
      <c r="E33" s="53"/>
    </row>
    <row r="34" spans="1:7" ht="15.75" customHeight="1" x14ac:dyDescent="0.3">
      <c r="C34" s="93">
        <v>252.57</v>
      </c>
      <c r="D34" s="86">
        <f t="shared" si="0"/>
        <v>6.0144985262486688E-3</v>
      </c>
      <c r="E34" s="53"/>
    </row>
    <row r="35" spans="1:7" ht="15.75" customHeight="1" x14ac:dyDescent="0.3">
      <c r="C35" s="93">
        <v>245.16</v>
      </c>
      <c r="D35" s="86">
        <f t="shared" si="0"/>
        <v>-2.3500358480044635E-2</v>
      </c>
      <c r="E35" s="53"/>
    </row>
    <row r="36" spans="1:7" ht="15.75" customHeight="1" x14ac:dyDescent="0.3">
      <c r="C36" s="93">
        <v>248.13</v>
      </c>
      <c r="D36" s="86">
        <f t="shared" si="0"/>
        <v>-1.1670517007886587E-2</v>
      </c>
      <c r="E36" s="53"/>
    </row>
    <row r="37" spans="1:7" ht="15.75" customHeight="1" x14ac:dyDescent="0.3">
      <c r="C37" s="93">
        <v>251.05</v>
      </c>
      <c r="D37" s="86">
        <f t="shared" si="0"/>
        <v>-3.9831116067835998E-5</v>
      </c>
      <c r="E37" s="53"/>
    </row>
    <row r="38" spans="1:7" ht="15.75" customHeight="1" x14ac:dyDescent="0.3">
      <c r="C38" s="93">
        <v>249.48</v>
      </c>
      <c r="D38" s="86">
        <f t="shared" si="0"/>
        <v>-6.2933163387238608E-3</v>
      </c>
      <c r="E38" s="53"/>
    </row>
    <row r="39" spans="1:7" ht="15.75" customHeight="1" x14ac:dyDescent="0.3">
      <c r="C39" s="93">
        <v>250.6</v>
      </c>
      <c r="D39" s="86">
        <f t="shared" si="0"/>
        <v>-1.8322313391221539E-3</v>
      </c>
      <c r="E39" s="53"/>
    </row>
    <row r="40" spans="1:7" ht="15.75" customHeight="1" x14ac:dyDescent="0.3">
      <c r="C40" s="93">
        <v>252.94</v>
      </c>
      <c r="D40" s="86">
        <f t="shared" si="0"/>
        <v>7.4882498207599598E-3</v>
      </c>
      <c r="E40" s="53"/>
    </row>
    <row r="41" spans="1:7" ht="15.75" customHeight="1" x14ac:dyDescent="0.3">
      <c r="C41" s="93">
        <v>247.84</v>
      </c>
      <c r="D41" s="86">
        <f t="shared" si="0"/>
        <v>-1.2825619373854851E-2</v>
      </c>
      <c r="E41" s="53"/>
    </row>
    <row r="42" spans="1:7" ht="15.75" customHeight="1" x14ac:dyDescent="0.3">
      <c r="C42" s="93">
        <v>254.82</v>
      </c>
      <c r="D42" s="86">
        <f t="shared" si="0"/>
        <v>1.497649964151992E-2</v>
      </c>
      <c r="E42" s="53"/>
    </row>
    <row r="43" spans="1:7" ht="16.5" customHeight="1" x14ac:dyDescent="0.3">
      <c r="C43" s="94">
        <v>253.46</v>
      </c>
      <c r="D43" s="87">
        <f t="shared" si="0"/>
        <v>9.5594678562893557E-3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0" t="s">
        <v>42</v>
      </c>
      <c r="C45" s="81">
        <f>SUM(C24:C44)</f>
        <v>5021.2</v>
      </c>
      <c r="D45" s="76"/>
      <c r="E45" s="54"/>
    </row>
    <row r="46" spans="1:7" ht="17.25" customHeight="1" x14ac:dyDescent="0.3">
      <c r="B46" s="80" t="s">
        <v>43</v>
      </c>
      <c r="C46" s="82">
        <f>AVERAGE(C24:C44)</f>
        <v>251.06</v>
      </c>
      <c r="E46" s="56"/>
    </row>
    <row r="47" spans="1:7" ht="17.25" customHeight="1" x14ac:dyDescent="0.3">
      <c r="A47" s="60"/>
      <c r="B47" s="77"/>
      <c r="D47" s="58"/>
      <c r="E47" s="56"/>
    </row>
    <row r="48" spans="1:7" ht="33.75" customHeight="1" x14ac:dyDescent="0.3">
      <c r="B48" s="90" t="s">
        <v>43</v>
      </c>
      <c r="C48" s="83" t="s">
        <v>44</v>
      </c>
      <c r="D48" s="78"/>
      <c r="G48" s="58"/>
    </row>
    <row r="49" spans="1:6" ht="17.25" customHeight="1" x14ac:dyDescent="0.3">
      <c r="B49" s="282">
        <f>C46</f>
        <v>251.06</v>
      </c>
      <c r="C49" s="91">
        <f>-IF(C46&lt;=80,10%,IF(C46&lt;250,7.5%,5%))</f>
        <v>-0.05</v>
      </c>
      <c r="D49" s="79">
        <f>IF(C46&lt;=80,C46*0.9,IF(C46&lt;250,C46*0.925,C46*0.95))</f>
        <v>238.50700000000001</v>
      </c>
    </row>
    <row r="50" spans="1:6" ht="17.25" customHeight="1" x14ac:dyDescent="0.3">
      <c r="B50" s="283"/>
      <c r="C50" s="92">
        <f>IF(C46&lt;=80, 10%, IF(C46&lt;250, 7.5%, 5%))</f>
        <v>0.05</v>
      </c>
      <c r="D50" s="79">
        <f>IF(C46&lt;=80, C46*1.1, IF(C46&lt;250, C46*1.075, C46*1.05))</f>
        <v>263.613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262" t="s">
        <v>129</v>
      </c>
      <c r="C54" s="225"/>
      <c r="D54" s="330">
        <v>42411</v>
      </c>
      <c r="E54" s="61"/>
      <c r="F5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2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6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98" t="s">
        <v>33</v>
      </c>
      <c r="B18" s="290" t="s">
        <v>5</v>
      </c>
      <c r="C18" s="290"/>
      <c r="D18" s="265"/>
      <c r="E18" s="99"/>
      <c r="F18" s="100"/>
      <c r="G18" s="100"/>
      <c r="H18" s="100"/>
    </row>
    <row r="19" spans="1:14" ht="26.25" customHeight="1" x14ac:dyDescent="0.4">
      <c r="A19" s="98" t="s">
        <v>34</v>
      </c>
      <c r="B19" s="101" t="s">
        <v>7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35</v>
      </c>
      <c r="B20" s="295" t="s">
        <v>9</v>
      </c>
      <c r="C20" s="295"/>
      <c r="D20" s="100"/>
      <c r="E20" s="100"/>
      <c r="F20" s="100"/>
      <c r="G20" s="100"/>
      <c r="H20" s="100"/>
    </row>
    <row r="21" spans="1:14" ht="26.25" customHeight="1" x14ac:dyDescent="0.4">
      <c r="A21" s="98" t="s">
        <v>36</v>
      </c>
      <c r="B21" s="296" t="s">
        <v>128</v>
      </c>
      <c r="C21" s="295"/>
      <c r="D21" s="295"/>
      <c r="E21" s="295"/>
      <c r="F21" s="295"/>
      <c r="G21" s="295"/>
      <c r="H21" s="295"/>
      <c r="I21" s="102"/>
    </row>
    <row r="22" spans="1:14" ht="26.25" customHeight="1" x14ac:dyDescent="0.4">
      <c r="A22" s="98" t="s">
        <v>37</v>
      </c>
      <c r="B22" s="103" t="s">
        <v>12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38</v>
      </c>
      <c r="B23" s="103"/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290" t="s">
        <v>125</v>
      </c>
      <c r="C26" s="290"/>
    </row>
    <row r="27" spans="1:14" ht="26.25" customHeight="1" x14ac:dyDescent="0.4">
      <c r="A27" s="107" t="s">
        <v>48</v>
      </c>
      <c r="B27" s="297" t="s">
        <v>126</v>
      </c>
      <c r="C27" s="297"/>
    </row>
    <row r="28" spans="1:14" ht="27" customHeight="1" x14ac:dyDescent="0.4">
      <c r="A28" s="107" t="s">
        <v>6</v>
      </c>
      <c r="B28" s="108">
        <v>99.4</v>
      </c>
    </row>
    <row r="29" spans="1:14" s="14" customFormat="1" ht="27" customHeight="1" x14ac:dyDescent="0.4">
      <c r="A29" s="107" t="s">
        <v>49</v>
      </c>
      <c r="B29" s="109">
        <v>0</v>
      </c>
      <c r="C29" s="298" t="s">
        <v>50</v>
      </c>
      <c r="D29" s="299"/>
      <c r="E29" s="299"/>
      <c r="F29" s="299"/>
      <c r="G29" s="300"/>
      <c r="I29" s="110"/>
      <c r="J29" s="110"/>
      <c r="K29" s="110"/>
      <c r="L29" s="110"/>
    </row>
    <row r="30" spans="1:14" s="14" customFormat="1" ht="19.5" customHeight="1" x14ac:dyDescent="0.3">
      <c r="A30" s="107" t="s">
        <v>51</v>
      </c>
      <c r="B30" s="111">
        <f>B28-B29</f>
        <v>99.4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52</v>
      </c>
      <c r="B31" s="114">
        <v>1</v>
      </c>
      <c r="C31" s="301" t="s">
        <v>53</v>
      </c>
      <c r="D31" s="302"/>
      <c r="E31" s="302"/>
      <c r="F31" s="302"/>
      <c r="G31" s="302"/>
      <c r="H31" s="303"/>
      <c r="I31" s="110"/>
      <c r="J31" s="110"/>
      <c r="K31" s="110"/>
      <c r="L31" s="110"/>
    </row>
    <row r="32" spans="1:14" s="14" customFormat="1" ht="27" customHeight="1" x14ac:dyDescent="0.4">
      <c r="A32" s="107" t="s">
        <v>54</v>
      </c>
      <c r="B32" s="114">
        <v>1</v>
      </c>
      <c r="C32" s="301" t="s">
        <v>55</v>
      </c>
      <c r="D32" s="302"/>
      <c r="E32" s="302"/>
      <c r="F32" s="302"/>
      <c r="G32" s="302"/>
      <c r="H32" s="303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58</v>
      </c>
      <c r="B36" s="121">
        <v>25</v>
      </c>
      <c r="C36" s="97"/>
      <c r="D36" s="304" t="s">
        <v>59</v>
      </c>
      <c r="E36" s="305"/>
      <c r="F36" s="304" t="s">
        <v>60</v>
      </c>
      <c r="G36" s="306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66</v>
      </c>
      <c r="B38" s="123">
        <v>25</v>
      </c>
      <c r="C38" s="129">
        <v>1</v>
      </c>
      <c r="D38" s="130">
        <v>83197948</v>
      </c>
      <c r="E38" s="131">
        <f>IF(ISBLANK(D38),"-",$D$48/$D$45*D38)</f>
        <v>80095836.261588678</v>
      </c>
      <c r="F38" s="130">
        <v>95009689</v>
      </c>
      <c r="G38" s="132">
        <f>IF(ISBLANK(F38),"-",$D$48/$F$45*F38)</f>
        <v>81695032.588694558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67</v>
      </c>
      <c r="B39" s="123">
        <v>1</v>
      </c>
      <c r="C39" s="134">
        <v>2</v>
      </c>
      <c r="D39" s="135">
        <v>83452311</v>
      </c>
      <c r="E39" s="136">
        <f>IF(ISBLANK(D39),"-",$D$48/$D$45*D39)</f>
        <v>80340715.104021251</v>
      </c>
      <c r="F39" s="135">
        <v>95157960</v>
      </c>
      <c r="G39" s="137">
        <f>IF(ISBLANK(F39),"-",$D$48/$F$45*F39)</f>
        <v>81822524.892947435</v>
      </c>
      <c r="I39" s="308">
        <f>ABS((F43/D43*D42)-F42)/D42</f>
        <v>2.0859564996360908E-2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83309788</v>
      </c>
      <c r="E40" s="136">
        <f>IF(ISBLANK(D40),"-",$D$48/$D$45*D40)</f>
        <v>80203506.204692274</v>
      </c>
      <c r="F40" s="135">
        <v>94905983</v>
      </c>
      <c r="G40" s="137">
        <f>IF(ISBLANK(F40),"-",$D$48/$F$45*F40)</f>
        <v>81605859.9460008</v>
      </c>
      <c r="I40" s="308"/>
      <c r="L40" s="115"/>
      <c r="M40" s="115"/>
      <c r="N40" s="138"/>
    </row>
    <row r="41" spans="1:14" ht="27" customHeight="1" x14ac:dyDescent="0.4">
      <c r="A41" s="122" t="s">
        <v>69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70</v>
      </c>
      <c r="B42" s="123">
        <v>1</v>
      </c>
      <c r="C42" s="144" t="s">
        <v>71</v>
      </c>
      <c r="D42" s="145">
        <f>AVERAGE(D38:D41)</f>
        <v>83320015.666666672</v>
      </c>
      <c r="E42" s="146">
        <f>AVERAGE(E38:E41)</f>
        <v>80213352.523434073</v>
      </c>
      <c r="F42" s="145">
        <f>AVERAGE(F38:F41)</f>
        <v>95024544</v>
      </c>
      <c r="G42" s="147">
        <f>AVERAGE(G38:G41)</f>
        <v>81707805.809214279</v>
      </c>
      <c r="H42" s="148"/>
    </row>
    <row r="43" spans="1:14" ht="26.25" customHeight="1" x14ac:dyDescent="0.4">
      <c r="A43" s="122" t="s">
        <v>72</v>
      </c>
      <c r="B43" s="123">
        <v>1</v>
      </c>
      <c r="C43" s="149" t="s">
        <v>73</v>
      </c>
      <c r="D43" s="150">
        <v>20.9</v>
      </c>
      <c r="E43" s="138"/>
      <c r="F43" s="150">
        <v>23.4</v>
      </c>
      <c r="H43" s="148"/>
    </row>
    <row r="44" spans="1:14" ht="26.25" customHeight="1" x14ac:dyDescent="0.4">
      <c r="A44" s="122" t="s">
        <v>74</v>
      </c>
      <c r="B44" s="123">
        <v>1</v>
      </c>
      <c r="C44" s="151" t="s">
        <v>75</v>
      </c>
      <c r="D44" s="152">
        <f>D43*$B$34</f>
        <v>20.9</v>
      </c>
      <c r="E44" s="153"/>
      <c r="F44" s="152">
        <f>F43*$B$34</f>
        <v>23.4</v>
      </c>
      <c r="H44" s="148"/>
    </row>
    <row r="45" spans="1:14" ht="19.5" customHeight="1" x14ac:dyDescent="0.3">
      <c r="A45" s="122" t="s">
        <v>76</v>
      </c>
      <c r="B45" s="154">
        <f>(B44/B43)*(B42/B41)*(B40/B39)*(B38/B37)*B36</f>
        <v>62.5</v>
      </c>
      <c r="C45" s="151" t="s">
        <v>77</v>
      </c>
      <c r="D45" s="155">
        <f>D44*$B$30/100</f>
        <v>20.7746</v>
      </c>
      <c r="E45" s="156"/>
      <c r="F45" s="155">
        <f>F44*$B$30/100</f>
        <v>23.259599999999999</v>
      </c>
      <c r="H45" s="148"/>
    </row>
    <row r="46" spans="1:14" ht="19.5" customHeight="1" x14ac:dyDescent="0.3">
      <c r="A46" s="309" t="s">
        <v>78</v>
      </c>
      <c r="B46" s="310"/>
      <c r="C46" s="151" t="s">
        <v>79</v>
      </c>
      <c r="D46" s="157">
        <f>D45/$B$45</f>
        <v>0.33239360000000001</v>
      </c>
      <c r="E46" s="158"/>
      <c r="F46" s="159">
        <f>F45/$B$45</f>
        <v>0.37215359999999997</v>
      </c>
      <c r="H46" s="148"/>
    </row>
    <row r="47" spans="1:14" ht="27" customHeight="1" x14ac:dyDescent="0.4">
      <c r="A47" s="311"/>
      <c r="B47" s="312"/>
      <c r="C47" s="160" t="s">
        <v>80</v>
      </c>
      <c r="D47" s="161">
        <v>0.32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82</v>
      </c>
      <c r="D49" s="166">
        <f>D48/B34</f>
        <v>20</v>
      </c>
      <c r="F49" s="164"/>
      <c r="H49" s="148"/>
    </row>
    <row r="50" spans="1:12" ht="18.75" x14ac:dyDescent="0.3">
      <c r="C50" s="120" t="s">
        <v>83</v>
      </c>
      <c r="D50" s="167">
        <f>AVERAGE(E38:E41,G38:G41)</f>
        <v>80960579.166324168</v>
      </c>
      <c r="F50" s="168"/>
      <c r="H50" s="148"/>
    </row>
    <row r="51" spans="1:12" ht="18.75" x14ac:dyDescent="0.3">
      <c r="C51" s="122" t="s">
        <v>84</v>
      </c>
      <c r="D51" s="169">
        <f>STDEV(E38:E41,G38:G41)/D50</f>
        <v>1.0191350794923839E-2</v>
      </c>
      <c r="F51" s="168"/>
      <c r="H51" s="148"/>
    </row>
    <row r="52" spans="1:12" ht="19.5" customHeight="1" x14ac:dyDescent="0.3">
      <c r="C52" s="170" t="s">
        <v>20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85</v>
      </c>
    </row>
    <row r="55" spans="1:12" ht="18.75" x14ac:dyDescent="0.3">
      <c r="A55" s="97" t="s">
        <v>86</v>
      </c>
      <c r="B55" s="174" t="str">
        <f>B21</f>
        <v>Each uncoated tablet contains: 16 mg Betahistine dihydrochloride
Betahistine dihydrochloride Ph.Eur 16 mg</v>
      </c>
    </row>
    <row r="56" spans="1:12" ht="26.25" customHeight="1" x14ac:dyDescent="0.4">
      <c r="A56" s="175" t="s">
        <v>87</v>
      </c>
      <c r="B56" s="176">
        <v>16</v>
      </c>
      <c r="C56" s="97" t="str">
        <f>B20</f>
        <v>Betahistine Dihydrochloride BP 16mg</v>
      </c>
      <c r="H56" s="177"/>
    </row>
    <row r="57" spans="1:12" ht="18.75" x14ac:dyDescent="0.3">
      <c r="A57" s="174" t="s">
        <v>88</v>
      </c>
      <c r="B57" s="266">
        <f>Uniformity!C46</f>
        <v>251.06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89</v>
      </c>
      <c r="B59" s="121">
        <v>100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4" customFormat="1" ht="26.25" customHeight="1" x14ac:dyDescent="0.4">
      <c r="A60" s="122" t="s">
        <v>93</v>
      </c>
      <c r="B60" s="123">
        <v>1</v>
      </c>
      <c r="C60" s="313" t="s">
        <v>94</v>
      </c>
      <c r="D60" s="316">
        <v>501.6</v>
      </c>
      <c r="E60" s="180">
        <v>1</v>
      </c>
      <c r="F60" s="181">
        <v>81351617</v>
      </c>
      <c r="G60" s="267">
        <f>IF(ISBLANK(F60),"-",(F60/$D$50*$D$47*$B$68)*($B$57/$D$60))</f>
        <v>16.093946687766948</v>
      </c>
      <c r="H60" s="182">
        <f t="shared" ref="H60:H71" si="0">IF(ISBLANK(F60),"-",G60/$B$56)</f>
        <v>1.0058716679854343</v>
      </c>
      <c r="L60" s="110"/>
    </row>
    <row r="61" spans="1:12" s="14" customFormat="1" ht="26.25" customHeight="1" x14ac:dyDescent="0.4">
      <c r="A61" s="122" t="s">
        <v>95</v>
      </c>
      <c r="B61" s="123">
        <v>1</v>
      </c>
      <c r="C61" s="314"/>
      <c r="D61" s="317"/>
      <c r="E61" s="183">
        <v>2</v>
      </c>
      <c r="F61" s="135">
        <v>80993920</v>
      </c>
      <c r="G61" s="268">
        <f>IF(ISBLANK(F61),"-",(F61/$D$50*$D$47*$B$68)*($B$57/$D$60))</f>
        <v>16.023182803032192</v>
      </c>
      <c r="H61" s="184">
        <f t="shared" si="0"/>
        <v>1.001448925189512</v>
      </c>
      <c r="L61" s="110"/>
    </row>
    <row r="62" spans="1:12" s="14" customFormat="1" ht="26.25" customHeight="1" x14ac:dyDescent="0.4">
      <c r="A62" s="122" t="s">
        <v>96</v>
      </c>
      <c r="B62" s="123">
        <v>1</v>
      </c>
      <c r="C62" s="314"/>
      <c r="D62" s="317"/>
      <c r="E62" s="183">
        <v>3</v>
      </c>
      <c r="F62" s="185">
        <v>81115726</v>
      </c>
      <c r="G62" s="268">
        <f>IF(ISBLANK(F62),"-",(F62/$D$50*$D$47*$B$68)*($B$57/$D$60))</f>
        <v>16.047279918031762</v>
      </c>
      <c r="H62" s="184">
        <f t="shared" si="0"/>
        <v>1.0029549948769851</v>
      </c>
      <c r="L62" s="110"/>
    </row>
    <row r="63" spans="1:12" ht="27" customHeight="1" x14ac:dyDescent="0.4">
      <c r="A63" s="122" t="s">
        <v>97</v>
      </c>
      <c r="B63" s="123">
        <v>1</v>
      </c>
      <c r="C63" s="315"/>
      <c r="D63" s="318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313" t="s">
        <v>99</v>
      </c>
      <c r="D64" s="316">
        <v>502.1</v>
      </c>
      <c r="E64" s="180">
        <v>1</v>
      </c>
      <c r="F64" s="181">
        <v>81905954</v>
      </c>
      <c r="G64" s="269">
        <f>IF(ISBLANK(F64),"-",(F64/$D$50*$D$47*$B$68)*($B$57/$D$64))</f>
        <v>16.187476399789642</v>
      </c>
      <c r="H64" s="188">
        <f t="shared" si="0"/>
        <v>1.0117172749868526</v>
      </c>
    </row>
    <row r="65" spans="1:8" ht="26.25" customHeight="1" x14ac:dyDescent="0.4">
      <c r="A65" s="122" t="s">
        <v>100</v>
      </c>
      <c r="B65" s="123">
        <v>1</v>
      </c>
      <c r="C65" s="314"/>
      <c r="D65" s="317"/>
      <c r="E65" s="183">
        <v>2</v>
      </c>
      <c r="F65" s="135">
        <v>81738761</v>
      </c>
      <c r="G65" s="270">
        <f>IF(ISBLANK(F65),"-",(F65/$D$50*$D$47*$B$68)*($B$57/$D$64))</f>
        <v>16.154433225154133</v>
      </c>
      <c r="H65" s="189">
        <f t="shared" si="0"/>
        <v>1.0096520765721333</v>
      </c>
    </row>
    <row r="66" spans="1:8" ht="26.25" customHeight="1" x14ac:dyDescent="0.4">
      <c r="A66" s="122" t="s">
        <v>101</v>
      </c>
      <c r="B66" s="123">
        <v>1</v>
      </c>
      <c r="C66" s="314"/>
      <c r="D66" s="317"/>
      <c r="E66" s="183">
        <v>3</v>
      </c>
      <c r="F66" s="135">
        <v>81723049</v>
      </c>
      <c r="G66" s="270">
        <f>IF(ISBLANK(F66),"-",(F66/$D$50*$D$47*$B$68)*($B$57/$D$64))</f>
        <v>16.15132798534222</v>
      </c>
      <c r="H66" s="189">
        <f t="shared" si="0"/>
        <v>1.0094579990838888</v>
      </c>
    </row>
    <row r="67" spans="1:8" ht="27" customHeight="1" x14ac:dyDescent="0.4">
      <c r="A67" s="122" t="s">
        <v>102</v>
      </c>
      <c r="B67" s="123">
        <v>1</v>
      </c>
      <c r="C67" s="315"/>
      <c r="D67" s="318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103</v>
      </c>
      <c r="B68" s="191">
        <f>(B67/B66)*(B65/B64)*(B63/B62)*(B61/B60)*B59</f>
        <v>100</v>
      </c>
      <c r="C68" s="313" t="s">
        <v>104</v>
      </c>
      <c r="D68" s="316">
        <v>503.3</v>
      </c>
      <c r="E68" s="180">
        <v>1</v>
      </c>
      <c r="F68" s="181">
        <v>81718157</v>
      </c>
      <c r="G68" s="269">
        <f>IF(ISBLANK(F68),"-",(F68/$D$50*$D$47*$B$68)*($B$57/$D$68))</f>
        <v>16.111854432924584</v>
      </c>
      <c r="H68" s="184">
        <f t="shared" si="0"/>
        <v>1.0069909020577865</v>
      </c>
    </row>
    <row r="69" spans="1:8" ht="27" customHeight="1" x14ac:dyDescent="0.4">
      <c r="A69" s="170" t="s">
        <v>105</v>
      </c>
      <c r="B69" s="192">
        <f>(D47*B68)/B56*B57</f>
        <v>502.12</v>
      </c>
      <c r="C69" s="314"/>
      <c r="D69" s="317"/>
      <c r="E69" s="183">
        <v>2</v>
      </c>
      <c r="F69" s="135">
        <v>81691338</v>
      </c>
      <c r="G69" s="270">
        <f>IF(ISBLANK(F69),"-",(F69/$D$50*$D$47*$B$68)*($B$57/$D$68))</f>
        <v>16.106566699574984</v>
      </c>
      <c r="H69" s="184">
        <f t="shared" si="0"/>
        <v>1.0066604187234365</v>
      </c>
    </row>
    <row r="70" spans="1:8" ht="26.25" customHeight="1" x14ac:dyDescent="0.4">
      <c r="A70" s="326" t="s">
        <v>78</v>
      </c>
      <c r="B70" s="327"/>
      <c r="C70" s="314"/>
      <c r="D70" s="317"/>
      <c r="E70" s="183">
        <v>3</v>
      </c>
      <c r="F70" s="135">
        <v>81885312</v>
      </c>
      <c r="G70" s="270">
        <f>IF(ISBLANK(F70),"-",(F70/$D$50*$D$47*$B$68)*($B$57/$D$68))</f>
        <v>16.144811331692324</v>
      </c>
      <c r="H70" s="184">
        <f t="shared" si="0"/>
        <v>1.0090507082307703</v>
      </c>
    </row>
    <row r="71" spans="1:8" ht="27" customHeight="1" x14ac:dyDescent="0.4">
      <c r="A71" s="328"/>
      <c r="B71" s="329"/>
      <c r="C71" s="325"/>
      <c r="D71" s="318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71</v>
      </c>
      <c r="G72" s="276">
        <f>AVERAGE(G60:G71)</f>
        <v>16.113431053700978</v>
      </c>
      <c r="H72" s="197">
        <f>AVERAGE(H60:H71)</f>
        <v>1.0070894408563111</v>
      </c>
    </row>
    <row r="73" spans="1:8" ht="26.25" customHeight="1" x14ac:dyDescent="0.4">
      <c r="C73" s="194"/>
      <c r="D73" s="194"/>
      <c r="E73" s="194"/>
      <c r="F73" s="198" t="s">
        <v>84</v>
      </c>
      <c r="G73" s="272">
        <f>STDEV(G60:G71)/G72</f>
        <v>3.293771054543624E-3</v>
      </c>
      <c r="H73" s="272">
        <f>STDEV(H60:H71)/H72</f>
        <v>3.293771054543624E-3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106</v>
      </c>
      <c r="B76" s="202" t="s">
        <v>107</v>
      </c>
      <c r="C76" s="321" t="str">
        <f>B20</f>
        <v>Betahistine Dihydrochloride BP 16mg</v>
      </c>
      <c r="D76" s="321"/>
      <c r="E76" s="203" t="s">
        <v>108</v>
      </c>
      <c r="F76" s="203"/>
      <c r="G76" s="204">
        <f>H72</f>
        <v>1.0070894408563111</v>
      </c>
      <c r="H76" s="205"/>
    </row>
    <row r="77" spans="1:8" ht="18.75" x14ac:dyDescent="0.3">
      <c r="A77" s="105" t="s">
        <v>109</v>
      </c>
      <c r="B77" s="105" t="s">
        <v>110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07" t="str">
        <f>B26</f>
        <v>Betahistine dihydrochloride</v>
      </c>
      <c r="C79" s="307"/>
      <c r="G79" s="2">
        <f>16/900</f>
        <v>1.7777777777777778E-2</v>
      </c>
    </row>
    <row r="80" spans="1:8" ht="26.25" customHeight="1" x14ac:dyDescent="0.4">
      <c r="A80" s="107" t="s">
        <v>48</v>
      </c>
      <c r="B80" s="307" t="str">
        <f>B27</f>
        <v>B17 1</v>
      </c>
      <c r="C80" s="307"/>
    </row>
    <row r="81" spans="1:12" ht="27" customHeight="1" x14ac:dyDescent="0.4">
      <c r="A81" s="107" t="s">
        <v>6</v>
      </c>
      <c r="B81" s="206">
        <f>B28</f>
        <v>99.4</v>
      </c>
      <c r="G81" s="2">
        <f>0.32*5/100</f>
        <v>1.6E-2</v>
      </c>
    </row>
    <row r="82" spans="1:12" s="14" customFormat="1" ht="27" customHeight="1" x14ac:dyDescent="0.4">
      <c r="A82" s="107" t="s">
        <v>49</v>
      </c>
      <c r="B82" s="109">
        <v>0</v>
      </c>
      <c r="C82" s="298" t="s">
        <v>50</v>
      </c>
      <c r="D82" s="299"/>
      <c r="E82" s="299"/>
      <c r="F82" s="299"/>
      <c r="G82" s="300"/>
      <c r="I82" s="110"/>
      <c r="J82" s="110"/>
      <c r="K82" s="110"/>
      <c r="L82" s="110"/>
    </row>
    <row r="83" spans="1:12" s="14" customFormat="1" ht="19.5" customHeight="1" x14ac:dyDescent="0.3">
      <c r="A83" s="107" t="s">
        <v>51</v>
      </c>
      <c r="B83" s="111">
        <f>B81-B82</f>
        <v>99.4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52</v>
      </c>
      <c r="B84" s="114">
        <v>1</v>
      </c>
      <c r="C84" s="301" t="s">
        <v>111</v>
      </c>
      <c r="D84" s="302"/>
      <c r="E84" s="302"/>
      <c r="F84" s="302"/>
      <c r="G84" s="302"/>
      <c r="H84" s="303"/>
      <c r="I84" s="110"/>
      <c r="J84" s="110"/>
      <c r="K84" s="110"/>
      <c r="L84" s="110"/>
    </row>
    <row r="85" spans="1:12" s="14" customFormat="1" ht="27" customHeight="1" x14ac:dyDescent="0.4">
      <c r="A85" s="107" t="s">
        <v>54</v>
      </c>
      <c r="B85" s="114">
        <v>1</v>
      </c>
      <c r="C85" s="301" t="s">
        <v>112</v>
      </c>
      <c r="D85" s="302"/>
      <c r="E85" s="302"/>
      <c r="F85" s="302"/>
      <c r="G85" s="302"/>
      <c r="H85" s="303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58</v>
      </c>
      <c r="B89" s="121">
        <v>25</v>
      </c>
      <c r="D89" s="207" t="s">
        <v>59</v>
      </c>
      <c r="E89" s="208"/>
      <c r="F89" s="304" t="s">
        <v>60</v>
      </c>
      <c r="G89" s="306"/>
    </row>
    <row r="90" spans="1:12" ht="27" customHeight="1" x14ac:dyDescent="0.4">
      <c r="A90" s="122" t="s">
        <v>61</v>
      </c>
      <c r="B90" s="123">
        <v>10</v>
      </c>
      <c r="C90" s="209" t="s">
        <v>62</v>
      </c>
      <c r="D90" s="125" t="s">
        <v>63</v>
      </c>
      <c r="E90" s="126" t="s">
        <v>64</v>
      </c>
      <c r="F90" s="125" t="s">
        <v>63</v>
      </c>
      <c r="G90" s="210" t="s">
        <v>64</v>
      </c>
      <c r="I90" s="128" t="s">
        <v>65</v>
      </c>
    </row>
    <row r="91" spans="1:12" ht="26.25" customHeight="1" x14ac:dyDescent="0.4">
      <c r="A91" s="122" t="s">
        <v>66</v>
      </c>
      <c r="B91" s="123">
        <v>25</v>
      </c>
      <c r="C91" s="211">
        <v>1</v>
      </c>
      <c r="D91" s="130">
        <v>3983286</v>
      </c>
      <c r="E91" s="131">
        <f>IF(ISBLANK(D91),"-",$D$101/$D$98*D91)</f>
        <v>4260850.5899832807</v>
      </c>
      <c r="F91" s="130">
        <v>4546312</v>
      </c>
      <c r="G91" s="132">
        <f>IF(ISBLANK(F91),"-",$D$101/$F$98*F91)</f>
        <v>4343546.5595090007</v>
      </c>
      <c r="I91" s="133"/>
    </row>
    <row r="92" spans="1:12" ht="26.25" customHeight="1" x14ac:dyDescent="0.4">
      <c r="A92" s="122" t="s">
        <v>67</v>
      </c>
      <c r="B92" s="123">
        <v>5</v>
      </c>
      <c r="C92" s="195">
        <v>2</v>
      </c>
      <c r="D92" s="135">
        <v>3981797</v>
      </c>
      <c r="E92" s="136">
        <f>IF(ISBLANK(D92),"-",$D$101/$D$98*D92)</f>
        <v>4259257.833016173</v>
      </c>
      <c r="F92" s="135">
        <v>4545107</v>
      </c>
      <c r="G92" s="137">
        <f>IF(ISBLANK(F92),"-",$D$101/$F$98*F92)</f>
        <v>4342395.3024891997</v>
      </c>
      <c r="I92" s="308">
        <f>ABS((F96/D96*D95)-F95)/D95</f>
        <v>2.1099603896799449E-2</v>
      </c>
    </row>
    <row r="93" spans="1:12" ht="26.25" customHeight="1" x14ac:dyDescent="0.4">
      <c r="A93" s="122" t="s">
        <v>68</v>
      </c>
      <c r="B93" s="123">
        <v>100</v>
      </c>
      <c r="C93" s="195">
        <v>3</v>
      </c>
      <c r="D93" s="135">
        <v>3977490</v>
      </c>
      <c r="E93" s="136">
        <f>IF(ISBLANK(D93),"-",$D$101/$D$98*D93)</f>
        <v>4254650.7112852558</v>
      </c>
      <c r="F93" s="135">
        <v>4531675</v>
      </c>
      <c r="G93" s="137">
        <f>IF(ISBLANK(F93),"-",$D$101/$F$98*F93)</f>
        <v>4329562.3694684729</v>
      </c>
      <c r="I93" s="308"/>
    </row>
    <row r="94" spans="1:12" ht="27" customHeight="1" x14ac:dyDescent="0.4">
      <c r="A94" s="122" t="s">
        <v>69</v>
      </c>
      <c r="B94" s="123">
        <v>1</v>
      </c>
      <c r="C94" s="212">
        <v>4</v>
      </c>
      <c r="D94" s="140"/>
      <c r="E94" s="141"/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70</v>
      </c>
      <c r="B95" s="123">
        <v>1</v>
      </c>
      <c r="C95" s="214" t="s">
        <v>71</v>
      </c>
      <c r="D95" s="215">
        <f>AVERAGE(D91:D94)</f>
        <v>3980857.6666666665</v>
      </c>
      <c r="E95" s="146">
        <f>AVERAGE(E91:E94)</f>
        <v>4258253.0447615692</v>
      </c>
      <c r="F95" s="216">
        <f>AVERAGE(F91:F94)</f>
        <v>4541031.333333333</v>
      </c>
      <c r="G95" s="217">
        <f>AVERAGE(G91:G94)</f>
        <v>4338501.4104888914</v>
      </c>
    </row>
    <row r="96" spans="1:12" ht="26.25" customHeight="1" x14ac:dyDescent="0.4">
      <c r="A96" s="122" t="s">
        <v>72</v>
      </c>
      <c r="B96" s="108">
        <v>1</v>
      </c>
      <c r="C96" s="218" t="s">
        <v>113</v>
      </c>
      <c r="D96" s="219">
        <v>20.9</v>
      </c>
      <c r="E96" s="138"/>
      <c r="F96" s="150">
        <v>23.4</v>
      </c>
    </row>
    <row r="97" spans="1:10" ht="26.25" customHeight="1" x14ac:dyDescent="0.4">
      <c r="A97" s="122" t="s">
        <v>74</v>
      </c>
      <c r="B97" s="108">
        <v>1</v>
      </c>
      <c r="C97" s="220" t="s">
        <v>114</v>
      </c>
      <c r="D97" s="221">
        <f>D96*$B$87</f>
        <v>20.9</v>
      </c>
      <c r="E97" s="153"/>
      <c r="F97" s="152">
        <f>F96*$B$87</f>
        <v>23.4</v>
      </c>
    </row>
    <row r="98" spans="1:10" ht="19.5" customHeight="1" x14ac:dyDescent="0.3">
      <c r="A98" s="122" t="s">
        <v>76</v>
      </c>
      <c r="B98" s="222">
        <f>(B97/B96)*(B95/B94)*(B93/B92)*(B91/B90)*B89</f>
        <v>1250</v>
      </c>
      <c r="C98" s="220" t="s">
        <v>115</v>
      </c>
      <c r="D98" s="223">
        <f>D97*$B$83/100</f>
        <v>20.7746</v>
      </c>
      <c r="E98" s="156"/>
      <c r="F98" s="155">
        <f>F97*$B$83/100</f>
        <v>23.259599999999999</v>
      </c>
    </row>
    <row r="99" spans="1:10" ht="19.5" customHeight="1" x14ac:dyDescent="0.3">
      <c r="A99" s="309" t="s">
        <v>78</v>
      </c>
      <c r="B99" s="323"/>
      <c r="C99" s="220" t="s">
        <v>116</v>
      </c>
      <c r="D99" s="224">
        <f>D98/$B$98</f>
        <v>1.6619680000000001E-2</v>
      </c>
      <c r="E99" s="156"/>
      <c r="F99" s="159">
        <f>F98/$B$98</f>
        <v>1.8607679999999998E-2</v>
      </c>
      <c r="G99" s="225"/>
      <c r="H99" s="148"/>
    </row>
    <row r="100" spans="1:10" ht="19.5" customHeight="1" x14ac:dyDescent="0.3">
      <c r="A100" s="311"/>
      <c r="B100" s="324"/>
      <c r="C100" s="220" t="s">
        <v>80</v>
      </c>
      <c r="D100" s="226">
        <f>$B$56/$B$116</f>
        <v>1.7777777777777778E-2</v>
      </c>
      <c r="F100" s="164"/>
      <c r="G100" s="227"/>
      <c r="H100" s="148"/>
    </row>
    <row r="101" spans="1:10" ht="18.75" x14ac:dyDescent="0.3">
      <c r="C101" s="220" t="s">
        <v>81</v>
      </c>
      <c r="D101" s="221">
        <f>D100*$B$98</f>
        <v>22.222222222222221</v>
      </c>
      <c r="F101" s="164"/>
      <c r="G101" s="225"/>
      <c r="H101" s="148"/>
    </row>
    <row r="102" spans="1:10" ht="19.5" customHeight="1" x14ac:dyDescent="0.3">
      <c r="C102" s="228" t="s">
        <v>82</v>
      </c>
      <c r="D102" s="229">
        <f>D101/B34</f>
        <v>22.222222222222221</v>
      </c>
      <c r="F102" s="168"/>
      <c r="G102" s="225"/>
      <c r="H102" s="148"/>
      <c r="J102" s="230"/>
    </row>
    <row r="103" spans="1:10" ht="18.75" x14ac:dyDescent="0.3">
      <c r="C103" s="231" t="s">
        <v>117</v>
      </c>
      <c r="D103" s="232">
        <f>AVERAGE(E91:E94,G91:G94)</f>
        <v>4298377.2276252303</v>
      </c>
      <c r="F103" s="168"/>
      <c r="G103" s="233"/>
      <c r="H103" s="148"/>
      <c r="J103" s="234"/>
    </row>
    <row r="104" spans="1:10" ht="18.75" x14ac:dyDescent="0.3">
      <c r="C104" s="198" t="s">
        <v>84</v>
      </c>
      <c r="D104" s="235">
        <f>STDEV(E91:E94,G91:G94)/D103</f>
        <v>1.0300177245859635E-2</v>
      </c>
      <c r="F104" s="168"/>
      <c r="G104" s="225"/>
      <c r="H104" s="148"/>
      <c r="J104" s="234"/>
    </row>
    <row r="105" spans="1:10" ht="19.5" customHeight="1" x14ac:dyDescent="0.3">
      <c r="C105" s="200" t="s">
        <v>20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118</v>
      </c>
      <c r="B107" s="121">
        <v>900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2" t="s">
        <v>122</v>
      </c>
      <c r="B108" s="123">
        <v>1</v>
      </c>
      <c r="C108" s="241">
        <v>1</v>
      </c>
      <c r="D108" s="242">
        <v>4240406</v>
      </c>
      <c r="E108" s="273">
        <f t="shared" ref="E108:E113" si="1">IF(ISBLANK(D108),"-",D108/$D$103*$D$100*$B$116)</f>
        <v>15.784211670385165</v>
      </c>
      <c r="F108" s="243">
        <f t="shared" ref="F108:F113" si="2">IF(ISBLANK(D108), "-", E108/$B$56)</f>
        <v>0.98651322939907282</v>
      </c>
    </row>
    <row r="109" spans="1:10" ht="26.25" customHeight="1" x14ac:dyDescent="0.4">
      <c r="A109" s="122" t="s">
        <v>95</v>
      </c>
      <c r="B109" s="123">
        <v>1</v>
      </c>
      <c r="C109" s="241">
        <v>2</v>
      </c>
      <c r="D109" s="242">
        <v>4191795</v>
      </c>
      <c r="E109" s="274">
        <f t="shared" si="1"/>
        <v>15.603265243672938</v>
      </c>
      <c r="F109" s="244">
        <f t="shared" si="2"/>
        <v>0.97520407772955864</v>
      </c>
    </row>
    <row r="110" spans="1:10" ht="26.25" customHeight="1" x14ac:dyDescent="0.4">
      <c r="A110" s="122" t="s">
        <v>96</v>
      </c>
      <c r="B110" s="123">
        <v>1</v>
      </c>
      <c r="C110" s="241">
        <v>3</v>
      </c>
      <c r="D110" s="242">
        <v>4476002</v>
      </c>
      <c r="E110" s="274">
        <f t="shared" si="1"/>
        <v>16.661178907177131</v>
      </c>
      <c r="F110" s="244">
        <f t="shared" si="2"/>
        <v>1.0413236816985707</v>
      </c>
    </row>
    <row r="111" spans="1:10" ht="26.25" customHeight="1" x14ac:dyDescent="0.4">
      <c r="A111" s="122" t="s">
        <v>97</v>
      </c>
      <c r="B111" s="123">
        <v>1</v>
      </c>
      <c r="C111" s="241">
        <v>4</v>
      </c>
      <c r="D111" s="242">
        <v>4134971</v>
      </c>
      <c r="E111" s="274">
        <f t="shared" si="1"/>
        <v>15.391747279601113</v>
      </c>
      <c r="F111" s="244">
        <f t="shared" si="2"/>
        <v>0.96198420497506953</v>
      </c>
    </row>
    <row r="112" spans="1:10" ht="26.25" customHeight="1" x14ac:dyDescent="0.4">
      <c r="A112" s="122" t="s">
        <v>98</v>
      </c>
      <c r="B112" s="123">
        <v>1</v>
      </c>
      <c r="C112" s="241">
        <v>5</v>
      </c>
      <c r="D112" s="242">
        <v>4200613</v>
      </c>
      <c r="E112" s="274">
        <f t="shared" si="1"/>
        <v>15.636088793707877</v>
      </c>
      <c r="F112" s="244">
        <f t="shared" si="2"/>
        <v>0.97725554960674232</v>
      </c>
    </row>
    <row r="113" spans="1:10" ht="26.25" customHeight="1" x14ac:dyDescent="0.4">
      <c r="A113" s="122" t="s">
        <v>100</v>
      </c>
      <c r="B113" s="123">
        <v>1</v>
      </c>
      <c r="C113" s="245">
        <v>6</v>
      </c>
      <c r="D113" s="246">
        <v>4157963</v>
      </c>
      <c r="E113" s="275">
        <f t="shared" si="1"/>
        <v>15.477331205933988</v>
      </c>
      <c r="F113" s="247">
        <f t="shared" si="2"/>
        <v>0.96733320037087422</v>
      </c>
    </row>
    <row r="114" spans="1:10" ht="26.25" customHeight="1" x14ac:dyDescent="0.4">
      <c r="A114" s="122" t="s">
        <v>101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102</v>
      </c>
      <c r="B115" s="123">
        <v>1</v>
      </c>
      <c r="C115" s="241"/>
      <c r="D115" s="249" t="s">
        <v>71</v>
      </c>
      <c r="E115" s="277">
        <f>AVERAGE(E108:E113)</f>
        <v>15.758970516746372</v>
      </c>
      <c r="F115" s="250">
        <f>AVERAGE(F108:F113)</f>
        <v>0.98493565729664823</v>
      </c>
    </row>
    <row r="116" spans="1:10" ht="27" customHeight="1" x14ac:dyDescent="0.4">
      <c r="A116" s="122" t="s">
        <v>103</v>
      </c>
      <c r="B116" s="154">
        <f>(B115/B114)*(B113/B112)*(B111/B110)*(B109/B108)*B107</f>
        <v>900</v>
      </c>
      <c r="C116" s="251"/>
      <c r="D116" s="214" t="s">
        <v>84</v>
      </c>
      <c r="E116" s="252">
        <f>STDEV(E108:E113)/E115</f>
        <v>2.932919733201279E-2</v>
      </c>
      <c r="F116" s="252">
        <f>STDEV(F108:F113)/F115</f>
        <v>2.932919733201279E-2</v>
      </c>
      <c r="I116" s="96"/>
    </row>
    <row r="117" spans="1:10" ht="27" customHeight="1" x14ac:dyDescent="0.4">
      <c r="A117" s="309" t="s">
        <v>78</v>
      </c>
      <c r="B117" s="310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311"/>
      <c r="B118" s="312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106</v>
      </c>
      <c r="B120" s="202" t="s">
        <v>123</v>
      </c>
      <c r="C120" s="321" t="str">
        <f>B20</f>
        <v>Betahistine Dihydrochloride BP 16mg</v>
      </c>
      <c r="D120" s="321"/>
      <c r="E120" s="203" t="s">
        <v>124</v>
      </c>
      <c r="F120" s="203"/>
      <c r="G120" s="204">
        <f>F115</f>
        <v>0.98493565729664823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22" t="s">
        <v>26</v>
      </c>
      <c r="C122" s="322"/>
      <c r="E122" s="209" t="s">
        <v>27</v>
      </c>
      <c r="F122" s="258"/>
      <c r="G122" s="322" t="s">
        <v>28</v>
      </c>
      <c r="H122" s="322"/>
    </row>
    <row r="123" spans="1:10" ht="69.95" customHeight="1" x14ac:dyDescent="0.3">
      <c r="A123" s="259" t="s">
        <v>29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30</v>
      </c>
      <c r="B124" s="262"/>
      <c r="C124" s="262" t="s">
        <v>129</v>
      </c>
      <c r="E124" s="330">
        <v>42411</v>
      </c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BETAHISTINE DIHYDROCHLORIDE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2016-02-11T08:36:19Z</dcterms:modified>
</cp:coreProperties>
</file>