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2"/>
  </bookViews>
  <sheets>
    <sheet name="SST" sheetId="4" r:id="rId1"/>
    <sheet name="Uniformity" sheetId="2" r:id="rId2"/>
    <sheet name="BETAHISTINE DIHYDROCHLORIDE " sheetId="5" r:id="rId3"/>
  </sheets>
  <definedNames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B57" i="5" l="1"/>
  <c r="C120" i="5"/>
  <c r="B116" i="5"/>
  <c r="D101" i="5"/>
  <c r="D102" i="5" s="1"/>
  <c r="D100" i="5"/>
  <c r="B98" i="5"/>
  <c r="D97" i="5"/>
  <c r="D98" i="5" s="1"/>
  <c r="F95" i="5"/>
  <c r="D95" i="5"/>
  <c r="I92" i="5" s="1"/>
  <c r="G94" i="5"/>
  <c r="B87" i="5"/>
  <c r="F97" i="5" s="1"/>
  <c r="F98" i="5" s="1"/>
  <c r="F99" i="5" s="1"/>
  <c r="B81" i="5"/>
  <c r="B83" i="5" s="1"/>
  <c r="B80" i="5"/>
  <c r="B79" i="5"/>
  <c r="C76" i="5"/>
  <c r="H71" i="5"/>
  <c r="G71" i="5"/>
  <c r="B68" i="5"/>
  <c r="H67" i="5"/>
  <c r="G67" i="5"/>
  <c r="H63" i="5"/>
  <c r="G63" i="5"/>
  <c r="C56" i="5"/>
  <c r="B55" i="5"/>
  <c r="D49" i="5"/>
  <c r="D48" i="5"/>
  <c r="G40" i="5" s="1"/>
  <c r="F45" i="5"/>
  <c r="F46" i="5" s="1"/>
  <c r="B45" i="5"/>
  <c r="F44" i="5"/>
  <c r="D44" i="5"/>
  <c r="D45" i="5" s="1"/>
  <c r="F42" i="5"/>
  <c r="D42" i="5"/>
  <c r="I39" i="5" s="1"/>
  <c r="G41" i="5"/>
  <c r="E41" i="5"/>
  <c r="G38" i="5"/>
  <c r="B34" i="5"/>
  <c r="B30" i="5"/>
  <c r="B53" i="4"/>
  <c r="E51" i="4"/>
  <c r="D51" i="4"/>
  <c r="C51" i="4"/>
  <c r="B51" i="4"/>
  <c r="B52" i="4" s="1"/>
  <c r="B42" i="4"/>
  <c r="B32" i="4"/>
  <c r="E30" i="4"/>
  <c r="D30" i="4"/>
  <c r="C30" i="4"/>
  <c r="B30" i="4"/>
  <c r="B31" i="4" s="1"/>
  <c r="B21" i="4"/>
  <c r="D49" i="2"/>
  <c r="C49" i="2"/>
  <c r="C46" i="2"/>
  <c r="D50" i="2" s="1"/>
  <c r="C45" i="2"/>
  <c r="D43" i="2"/>
  <c r="D41" i="2"/>
  <c r="D40" i="2"/>
  <c r="D39" i="2"/>
  <c r="D37" i="2"/>
  <c r="D36" i="2"/>
  <c r="D35" i="2"/>
  <c r="D33" i="2"/>
  <c r="D32" i="2"/>
  <c r="D31" i="2"/>
  <c r="D30" i="2"/>
  <c r="D29" i="2"/>
  <c r="D28" i="2"/>
  <c r="D27" i="2"/>
  <c r="D26" i="2"/>
  <c r="D25" i="2"/>
  <c r="D24" i="2"/>
  <c r="C19" i="2"/>
  <c r="B69" i="5" l="1"/>
  <c r="D99" i="5"/>
  <c r="E91" i="5"/>
  <c r="G42" i="5"/>
  <c r="E40" i="5"/>
  <c r="E38" i="5"/>
  <c r="D46" i="5"/>
  <c r="E39" i="5"/>
  <c r="G91" i="5"/>
  <c r="G39" i="5"/>
  <c r="E92" i="5"/>
  <c r="G93" i="5"/>
  <c r="G92" i="5"/>
  <c r="E93" i="5"/>
  <c r="C50" i="2"/>
  <c r="D34" i="2"/>
  <c r="D38" i="2"/>
  <c r="D42" i="2"/>
  <c r="B49" i="2"/>
  <c r="D105" i="5" l="1"/>
  <c r="D103" i="5"/>
  <c r="E95" i="5"/>
  <c r="D52" i="5"/>
  <c r="D50" i="5"/>
  <c r="E42" i="5"/>
  <c r="G95" i="5"/>
  <c r="E112" i="5" l="1"/>
  <c r="F112" i="5" s="1"/>
  <c r="E108" i="5"/>
  <c r="E113" i="5"/>
  <c r="F113" i="5" s="1"/>
  <c r="E111" i="5"/>
  <c r="F111" i="5" s="1"/>
  <c r="E109" i="5"/>
  <c r="F109" i="5" s="1"/>
  <c r="D104" i="5"/>
  <c r="E110" i="5"/>
  <c r="F110" i="5" s="1"/>
  <c r="G65" i="5"/>
  <c r="H65" i="5" s="1"/>
  <c r="G68" i="5"/>
  <c r="H68" i="5" s="1"/>
  <c r="G69" i="5"/>
  <c r="H69" i="5" s="1"/>
  <c r="G66" i="5"/>
  <c r="H66" i="5" s="1"/>
  <c r="G64" i="5"/>
  <c r="H64" i="5" s="1"/>
  <c r="G62" i="5"/>
  <c r="H62" i="5" s="1"/>
  <c r="G60" i="5"/>
  <c r="D51" i="5"/>
  <c r="G70" i="5"/>
  <c r="H70" i="5" s="1"/>
  <c r="G61" i="5"/>
  <c r="H61" i="5" s="1"/>
  <c r="G74" i="5" l="1"/>
  <c r="H60" i="5"/>
  <c r="G72" i="5"/>
  <c r="G73" i="5" s="1"/>
  <c r="E115" i="5"/>
  <c r="E116" i="5" s="1"/>
  <c r="E117" i="5"/>
  <c r="F108" i="5"/>
  <c r="H74" i="5" l="1"/>
  <c r="H72" i="5"/>
  <c r="F117" i="5"/>
  <c r="F115" i="5"/>
  <c r="H73" i="5" l="1"/>
  <c r="G76" i="5"/>
  <c r="G120" i="5"/>
  <c r="F116" i="5"/>
</calcChain>
</file>

<file path=xl/sharedStrings.xml><?xml version="1.0" encoding="utf-8"?>
<sst xmlns="http://schemas.openxmlformats.org/spreadsheetml/2006/main" count="237" uniqueCount="134">
  <si>
    <t>HPLC System Suitability Report</t>
  </si>
  <si>
    <t>Analysis Data</t>
  </si>
  <si>
    <t>Assay</t>
  </si>
  <si>
    <t>Sample(s)</t>
  </si>
  <si>
    <t>Reference Substance:</t>
  </si>
  <si>
    <t>BE-STEDY 24</t>
  </si>
  <si>
    <t>% age Purity:</t>
  </si>
  <si>
    <t>NDQD201509264</t>
  </si>
  <si>
    <t>Weight (mg):</t>
  </si>
  <si>
    <t>Betahistine Dihydrochloride BP 24mg</t>
  </si>
  <si>
    <t>Standard Conc (mg/mL):</t>
  </si>
  <si>
    <t>Each uncoated tablet contains:
Betahistine dihydrochloride Ph.Eur 24 mg</t>
  </si>
  <si>
    <t>2015-09-09 12:00:37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</si>
  <si>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</si>
  <si>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</si>
  <si>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</si>
  <si>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</si>
  <si>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</si>
  <si>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</si>
  <si>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</si>
  <si>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</si>
  <si>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</si>
  <si>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</si>
  <si>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</si>
  <si>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</si>
  <si>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</si>
  <si>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</si>
  <si>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</si>
  <si>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</si>
  <si>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</si>
  <si>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</si>
  <si>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</si>
  <si>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</si>
  <si>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</si>
  <si>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</si>
  <si>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</si>
  <si>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</si>
  <si>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</si>
  <si>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</si>
  <si>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</si>
  <si>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</si>
  <si>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</si>
  <si>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</si>
  <si>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</si>
  <si>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</si>
  <si>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</si>
  <si>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</si>
  <si>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</si>
  <si>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</si>
  <si>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</si>
  <si>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</si>
  <si>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</si>
  <si>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</si>
  <si>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</si>
  <si>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</si>
  <si>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</si>
  <si>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</si>
  <si>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</si>
  <si>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</si>
  <si>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</si>
  <si>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</si>
  <si>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</si>
  <si>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</si>
  <si>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</si>
  <si>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</si>
  <si>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</si>
  <si>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</si>
  <si>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</si>
  <si>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</si>
  <si>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</si>
  <si>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</si>
  <si>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</si>
  <si>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</si>
  <si>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</si>
  <si>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</si>
  <si>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</si>
  <si>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</si>
  <si>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</si>
  <si>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</si>
  <si>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</si>
  <si>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</si>
  <si>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</si>
  <si>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</si>
  <si>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</si>
  <si>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</si>
  <si>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</si>
  <si>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</si>
  <si>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</si>
  <si>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</si>
  <si>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</si>
  <si>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</si>
  <si>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</si>
  <si>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</si>
  <si>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</si>
  <si>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</si>
  <si>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</si>
  <si>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</si>
  <si>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</si>
  <si>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</si>
  <si>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</si>
  <si>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</si>
  <si>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</si>
  <si>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</si>
  <si>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</si>
  <si>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</si>
  <si>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</si>
  <si>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</si>
  <si>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</si>
  <si>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</si>
  <si>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</si>
  <si>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</si>
  <si>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</si>
  <si>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</si>
  <si>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</si>
  <si>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</si>
  <si>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</si>
  <si>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</si>
  <si>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</si>
  <si>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</si>
  <si>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</si>
  <si>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</si>
  <si>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</si>
  <si>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</si>
  <si>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</si>
  <si>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</si>
  <si>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BE-STEDY 16</t>
  </si>
  <si>
    <t xml:space="preserve">Betahistine Dihydrochloride </t>
  </si>
  <si>
    <t>2015-09-09 11:58:24</t>
  </si>
  <si>
    <t>NDQD201509263</t>
  </si>
  <si>
    <t>Betahistine Dihydrochloride BP 16mg</t>
  </si>
  <si>
    <t>Each uncoated tablet contains: 16 mg Betahistine dihydrochloride
Betahistine dihydrochloride Ph.Eur 16 mg</t>
  </si>
  <si>
    <t>Betahistine dihydrochloride</t>
  </si>
  <si>
    <t>B17 1</t>
  </si>
  <si>
    <t>E. Tanui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</si>
</sst>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304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1" fillId="2" borderId="0" xfId="1" applyFont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0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0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0" fontId="11" fillId="2" borderId="22" xfId="1" applyNumberFormat="1" applyFont="1" applyFill="1" applyBorder="1" applyAlignment="1">
      <alignment horizontal="center" vertical="center"/>
    </xf>
    <xf numFmtId="166" fontId="11" fillId="2" borderId="14" xfId="1" applyNumberFormat="1" applyFont="1" applyFill="1" applyBorder="1" applyAlignment="1">
      <alignment horizontal="center"/>
    </xf>
    <xf numFmtId="10" fontId="11" fillId="2" borderId="24" xfId="1" applyNumberFormat="1" applyFont="1" applyFill="1" applyBorder="1" applyAlignment="1">
      <alignment horizontal="center" vertical="center"/>
    </xf>
    <xf numFmtId="166" fontId="11" fillId="2" borderId="15" xfId="1" applyNumberFormat="1" applyFont="1" applyFill="1" applyBorder="1" applyAlignment="1">
      <alignment horizontal="center"/>
    </xf>
    <xf numFmtId="10" fontId="11" fillId="2" borderId="44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10" fontId="11" fillId="2" borderId="15" xfId="1" applyNumberFormat="1" applyFont="1" applyFill="1" applyBorder="1" applyAlignment="1">
      <alignment horizontal="center" vertic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0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7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54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0" fontId="11" fillId="2" borderId="23" xfId="1" applyFont="1" applyFill="1" applyBorder="1" applyAlignment="1">
      <alignment horizontal="center"/>
    </xf>
    <xf numFmtId="1" fontId="13" fillId="3" borderId="31" xfId="1" applyNumberFormat="1" applyFont="1" applyFill="1" applyBorder="1" applyAlignment="1" applyProtection="1">
      <alignment horizontal="center"/>
      <protection locked="0"/>
    </xf>
    <xf numFmtId="166" fontId="11" fillId="2" borderId="26" xfId="1" applyNumberFormat="1" applyFont="1" applyFill="1" applyBorder="1" applyAlignment="1">
      <alignment horizontal="center"/>
    </xf>
    <xf numFmtId="10" fontId="11" fillId="2" borderId="30" xfId="1" applyNumberFormat="1" applyFont="1" applyFill="1" applyBorder="1" applyAlignment="1">
      <alignment horizontal="center"/>
    </xf>
    <xf numFmtId="166" fontId="11" fillId="2" borderId="31" xfId="1" applyNumberFormat="1" applyFont="1" applyFill="1" applyBorder="1" applyAlignment="1">
      <alignment horizontal="center"/>
    </xf>
    <xf numFmtId="10" fontId="11" fillId="2" borderId="32" xfId="1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/>
    </xf>
    <xf numFmtId="1" fontId="13" fillId="3" borderId="35" xfId="1" applyNumberFormat="1" applyFont="1" applyFill="1" applyBorder="1" applyAlignment="1" applyProtection="1">
      <alignment horizontal="center"/>
      <protection locked="0"/>
    </xf>
    <xf numFmtId="166" fontId="11" fillId="2" borderId="35" xfId="1" applyNumberFormat="1" applyFont="1" applyFill="1" applyBorder="1" applyAlignment="1">
      <alignment horizontal="center"/>
    </xf>
    <xf numFmtId="10" fontId="11" fillId="2" borderId="36" xfId="1" applyNumberFormat="1" applyFont="1" applyFill="1" applyBorder="1" applyAlignment="1">
      <alignment horizontal="center"/>
    </xf>
    <xf numFmtId="2" fontId="11" fillId="2" borderId="24" xfId="1" applyNumberFormat="1" applyFont="1" applyFill="1" applyBorder="1" applyAlignment="1">
      <alignment horizontal="center"/>
    </xf>
    <xf numFmtId="171" fontId="11" fillId="2" borderId="2" xfId="1" applyNumberFormat="1" applyFont="1" applyFill="1" applyBorder="1" applyAlignment="1">
      <alignment horizontal="right"/>
    </xf>
    <xf numFmtId="2" fontId="13" fillId="7" borderId="27" xfId="1" applyNumberFormat="1" applyFont="1" applyFill="1" applyBorder="1" applyAlignment="1">
      <alignment horizontal="center"/>
    </xf>
    <xf numFmtId="10" fontId="13" fillId="7" borderId="27" xfId="1" applyNumberFormat="1" applyFont="1" applyFill="1" applyBorder="1" applyAlignment="1">
      <alignment horizontal="center"/>
    </xf>
    <xf numFmtId="0" fontId="11" fillId="2" borderId="23" xfId="1" applyFont="1" applyFill="1" applyBorder="1"/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1" fillId="2" borderId="56" xfId="1" applyFont="1" applyFill="1" applyBorder="1" applyAlignment="1">
      <alignment horizontal="right"/>
    </xf>
    <xf numFmtId="0" fontId="13" fillId="7" borderId="17" xfId="1" applyFont="1" applyFill="1" applyBorder="1" applyAlignment="1">
      <alignment horizontal="center"/>
    </xf>
    <xf numFmtId="0" fontId="19" fillId="2" borderId="0" xfId="1" applyFont="1" applyFill="1" applyAlignment="1">
      <alignment horizontal="righ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10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/>
    </xf>
    <xf numFmtId="0" fontId="12" fillId="2" borderId="58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40" xfId="1" applyFont="1" applyFill="1" applyBorder="1" applyAlignment="1">
      <alignment horizontal="center"/>
    </xf>
    <xf numFmtId="0" fontId="14" fillId="3" borderId="0" xfId="1" applyFont="1" applyFill="1" applyAlignment="1" applyProtection="1">
      <alignment horizontal="left" wrapText="1"/>
      <protection locked="0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0" fillId="2" borderId="10" xfId="1" applyFont="1" applyFill="1" applyBorder="1" applyAlignment="1">
      <alignment horizontal="center" vertical="center"/>
    </xf>
    <xf numFmtId="15" fontId="5" fillId="2" borderId="11" xfId="0" applyNumberFormat="1" applyFont="1" applyFill="1" applyBorder="1"/>
  </cellXfs>
  <cellStyles count="2">
    <cellStyle name="Normal" xfId="0" builtinId="0"/>
    <cellStyle name="Normal 2" xfId="1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6" workbookViewId="0">
      <selection activeCell="C61" sqref="C61:E61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5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254" t="s">
        <v>0</v>
      </c>
      <c r="B15" s="254"/>
      <c r="C15" s="254"/>
      <c r="D15" s="254"/>
      <c r="E15" s="254"/>
    </row>
    <row r="16" spans="1:6" ht="16.5" customHeight="1" x14ac:dyDescent="0.3">
      <c r="A16" s="51" t="s">
        <v>1</v>
      </c>
      <c r="B16" s="52" t="s">
        <v>2</v>
      </c>
    </row>
    <row r="17" spans="1:5" ht="16.5" customHeight="1" x14ac:dyDescent="0.3">
      <c r="A17" s="53" t="s">
        <v>3</v>
      </c>
      <c r="B17" s="53" t="s">
        <v>5</v>
      </c>
      <c r="D17" s="54"/>
      <c r="E17" s="55"/>
    </row>
    <row r="18" spans="1:5" ht="16.5" customHeight="1" x14ac:dyDescent="0.3">
      <c r="A18" s="56" t="s">
        <v>4</v>
      </c>
      <c r="B18" s="56" t="s">
        <v>126</v>
      </c>
      <c r="C18" s="55"/>
      <c r="D18" s="55"/>
      <c r="E18" s="55"/>
    </row>
    <row r="19" spans="1:5" ht="16.5" customHeight="1" x14ac:dyDescent="0.3">
      <c r="A19" s="56" t="s">
        <v>6</v>
      </c>
      <c r="B19" s="57">
        <v>99.4</v>
      </c>
      <c r="C19" s="55"/>
      <c r="D19" s="55"/>
      <c r="E19" s="55"/>
    </row>
    <row r="20" spans="1:5" ht="16.5" customHeight="1" x14ac:dyDescent="0.3">
      <c r="A20" s="53" t="s">
        <v>8</v>
      </c>
      <c r="B20" s="57">
        <v>20.9</v>
      </c>
      <c r="C20" s="55"/>
      <c r="D20" s="55"/>
      <c r="E20" s="55"/>
    </row>
    <row r="21" spans="1:5" ht="16.5" customHeight="1" x14ac:dyDescent="0.3">
      <c r="A21" s="53" t="s">
        <v>10</v>
      </c>
      <c r="B21" s="58">
        <f>B20/25*10/25</f>
        <v>0.33439999999999998</v>
      </c>
      <c r="C21" s="55"/>
      <c r="D21" s="55"/>
      <c r="E21" s="55"/>
    </row>
    <row r="22" spans="1:5" ht="15.75" customHeight="1" x14ac:dyDescent="0.25">
      <c r="A22" s="55"/>
      <c r="B22" s="55" t="s">
        <v>127</v>
      </c>
      <c r="C22" s="55"/>
      <c r="D22" s="55"/>
      <c r="E22" s="55"/>
    </row>
    <row r="23" spans="1:5" ht="16.5" customHeight="1" x14ac:dyDescent="0.3">
      <c r="A23" s="59" t="s">
        <v>13</v>
      </c>
      <c r="B23" s="60" t="s">
        <v>14</v>
      </c>
      <c r="C23" s="59" t="s">
        <v>15</v>
      </c>
      <c r="D23" s="59" t="s">
        <v>16</v>
      </c>
      <c r="E23" s="59" t="s">
        <v>17</v>
      </c>
    </row>
    <row r="24" spans="1:5" ht="16.5" customHeight="1" x14ac:dyDescent="0.3">
      <c r="A24" s="61">
        <v>1</v>
      </c>
      <c r="B24" s="62">
        <v>83390809</v>
      </c>
      <c r="C24" s="62">
        <v>8108.1</v>
      </c>
      <c r="D24" s="63">
        <v>1.3</v>
      </c>
      <c r="E24" s="64">
        <v>4.2</v>
      </c>
    </row>
    <row r="25" spans="1:5" ht="16.5" customHeight="1" x14ac:dyDescent="0.3">
      <c r="A25" s="61">
        <v>2</v>
      </c>
      <c r="B25" s="62">
        <v>83189799</v>
      </c>
      <c r="C25" s="62">
        <v>8064.6</v>
      </c>
      <c r="D25" s="63">
        <v>1.2</v>
      </c>
      <c r="E25" s="63">
        <v>4.2</v>
      </c>
    </row>
    <row r="26" spans="1:5" ht="16.5" customHeight="1" x14ac:dyDescent="0.3">
      <c r="A26" s="61">
        <v>3</v>
      </c>
      <c r="B26" s="62">
        <v>83030940</v>
      </c>
      <c r="C26" s="62">
        <v>8070.9</v>
      </c>
      <c r="D26" s="63">
        <v>1.3</v>
      </c>
      <c r="E26" s="63">
        <v>4.2</v>
      </c>
    </row>
    <row r="27" spans="1:5" ht="16.5" customHeight="1" x14ac:dyDescent="0.3">
      <c r="A27" s="61">
        <v>4</v>
      </c>
      <c r="B27" s="62">
        <v>83285948</v>
      </c>
      <c r="C27" s="62">
        <v>8125.8</v>
      </c>
      <c r="D27" s="63">
        <v>1.3</v>
      </c>
      <c r="E27" s="63">
        <v>4.2</v>
      </c>
    </row>
    <row r="28" spans="1:5" ht="16.5" customHeight="1" x14ac:dyDescent="0.3">
      <c r="A28" s="61">
        <v>5</v>
      </c>
      <c r="B28" s="62">
        <v>83103219</v>
      </c>
      <c r="C28" s="62">
        <v>8137.6</v>
      </c>
      <c r="D28" s="63">
        <v>1.3</v>
      </c>
      <c r="E28" s="63">
        <v>4.2</v>
      </c>
    </row>
    <row r="29" spans="1:5" ht="16.5" customHeight="1" x14ac:dyDescent="0.3">
      <c r="A29" s="61">
        <v>6</v>
      </c>
      <c r="B29" s="65">
        <v>82948846</v>
      </c>
      <c r="C29" s="65">
        <v>8185</v>
      </c>
      <c r="D29" s="66">
        <v>1.3</v>
      </c>
      <c r="E29" s="66">
        <v>4.2</v>
      </c>
    </row>
    <row r="30" spans="1:5" ht="16.5" customHeight="1" x14ac:dyDescent="0.3">
      <c r="A30" s="67" t="s">
        <v>18</v>
      </c>
      <c r="B30" s="68">
        <f>AVERAGE(B24:B29)</f>
        <v>83158260.166666672</v>
      </c>
      <c r="C30" s="69">
        <f>AVERAGE(C24:C29)</f>
        <v>8115.333333333333</v>
      </c>
      <c r="D30" s="70">
        <f>AVERAGE(D24:D29)</f>
        <v>1.2833333333333332</v>
      </c>
      <c r="E30" s="70">
        <f>AVERAGE(E24:E29)</f>
        <v>4.2</v>
      </c>
    </row>
    <row r="31" spans="1:5" ht="16.5" customHeight="1" x14ac:dyDescent="0.3">
      <c r="A31" s="71" t="s">
        <v>19</v>
      </c>
      <c r="B31" s="72">
        <f>(STDEV(B24:B29)/B30)</f>
        <v>1.9720852223588377E-3</v>
      </c>
      <c r="C31" s="73"/>
      <c r="D31" s="73"/>
      <c r="E31" s="74"/>
    </row>
    <row r="32" spans="1:5" s="49" customFormat="1" ht="16.5" customHeight="1" x14ac:dyDescent="0.3">
      <c r="A32" s="75" t="s">
        <v>20</v>
      </c>
      <c r="B32" s="76">
        <f>COUNT(B24:B29)</f>
        <v>6</v>
      </c>
      <c r="C32" s="77"/>
      <c r="D32" s="78"/>
      <c r="E32" s="79"/>
    </row>
    <row r="33" spans="1:5" s="49" customFormat="1" ht="15.75" customHeight="1" x14ac:dyDescent="0.25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0" t="s">
        <v>22</v>
      </c>
      <c r="C34" s="81"/>
      <c r="D34" s="81"/>
      <c r="E34" s="81"/>
    </row>
    <row r="35" spans="1:5" ht="16.5" customHeight="1" x14ac:dyDescent="0.3">
      <c r="A35" s="56"/>
      <c r="B35" s="80" t="s">
        <v>23</v>
      </c>
      <c r="C35" s="81"/>
      <c r="D35" s="81"/>
      <c r="E35" s="81"/>
    </row>
    <row r="36" spans="1:5" ht="16.5" customHeight="1" x14ac:dyDescent="0.3">
      <c r="A36" s="56"/>
      <c r="B36" s="80" t="s">
        <v>24</v>
      </c>
      <c r="C36" s="81"/>
      <c r="D36" s="81"/>
      <c r="E36" s="81"/>
    </row>
    <row r="37" spans="1:5" ht="15.75" customHeight="1" x14ac:dyDescent="0.25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 t="s">
        <v>25</v>
      </c>
    </row>
    <row r="39" spans="1:5" ht="16.5" customHeight="1" x14ac:dyDescent="0.3">
      <c r="A39" s="56" t="s">
        <v>4</v>
      </c>
      <c r="B39" s="56" t="s">
        <v>126</v>
      </c>
      <c r="C39" s="55"/>
      <c r="D39" s="55"/>
      <c r="E39" s="55"/>
    </row>
    <row r="40" spans="1:5" ht="16.5" customHeight="1" x14ac:dyDescent="0.3">
      <c r="A40" s="56" t="s">
        <v>6</v>
      </c>
      <c r="B40" s="57">
        <v>99.4</v>
      </c>
      <c r="C40" s="55"/>
      <c r="D40" s="55"/>
      <c r="E40" s="55"/>
    </row>
    <row r="41" spans="1:5" ht="16.5" customHeight="1" x14ac:dyDescent="0.3">
      <c r="A41" s="53" t="s">
        <v>8</v>
      </c>
      <c r="B41" s="57">
        <v>20.9</v>
      </c>
      <c r="C41" s="55"/>
      <c r="D41" s="55"/>
      <c r="E41" s="55"/>
    </row>
    <row r="42" spans="1:5" ht="16.5" customHeight="1" x14ac:dyDescent="0.3">
      <c r="A42" s="53" t="s">
        <v>10</v>
      </c>
      <c r="B42" s="58">
        <f>B21</f>
        <v>0.33439999999999998</v>
      </c>
      <c r="C42" s="55"/>
      <c r="D42" s="55"/>
      <c r="E42" s="55"/>
    </row>
    <row r="43" spans="1:5" ht="15.75" customHeight="1" x14ac:dyDescent="0.25">
      <c r="A43" s="55"/>
      <c r="B43" s="55"/>
      <c r="C43" s="55"/>
      <c r="D43" s="55"/>
      <c r="E43" s="55"/>
    </row>
    <row r="44" spans="1:5" ht="16.5" customHeight="1" x14ac:dyDescent="0.3">
      <c r="A44" s="59" t="s">
        <v>13</v>
      </c>
      <c r="B44" s="60" t="s">
        <v>14</v>
      </c>
      <c r="C44" s="59" t="s">
        <v>15</v>
      </c>
      <c r="D44" s="59" t="s">
        <v>16</v>
      </c>
      <c r="E44" s="59" t="s">
        <v>17</v>
      </c>
    </row>
    <row r="45" spans="1:5" ht="16.5" customHeight="1" x14ac:dyDescent="0.3">
      <c r="A45" s="61">
        <v>1</v>
      </c>
      <c r="B45" s="62">
        <v>83390809</v>
      </c>
      <c r="C45" s="62">
        <v>8108.1</v>
      </c>
      <c r="D45" s="63">
        <v>1.3</v>
      </c>
      <c r="E45" s="64">
        <v>4.2</v>
      </c>
    </row>
    <row r="46" spans="1:5" ht="16.5" customHeight="1" x14ac:dyDescent="0.3">
      <c r="A46" s="61">
        <v>2</v>
      </c>
      <c r="B46" s="62">
        <v>83189799</v>
      </c>
      <c r="C46" s="62">
        <v>8064.6</v>
      </c>
      <c r="D46" s="63">
        <v>1.2</v>
      </c>
      <c r="E46" s="63">
        <v>4.2</v>
      </c>
    </row>
    <row r="47" spans="1:5" ht="16.5" customHeight="1" x14ac:dyDescent="0.3">
      <c r="A47" s="61">
        <v>3</v>
      </c>
      <c r="B47" s="62">
        <v>83030940</v>
      </c>
      <c r="C47" s="62">
        <v>8070.9</v>
      </c>
      <c r="D47" s="63">
        <v>1.3</v>
      </c>
      <c r="E47" s="63">
        <v>4.2</v>
      </c>
    </row>
    <row r="48" spans="1:5" ht="16.5" customHeight="1" x14ac:dyDescent="0.3">
      <c r="A48" s="61">
        <v>4</v>
      </c>
      <c r="B48" s="62">
        <v>83285948</v>
      </c>
      <c r="C48" s="62">
        <v>8125.8</v>
      </c>
      <c r="D48" s="63">
        <v>1.3</v>
      </c>
      <c r="E48" s="63">
        <v>4.2</v>
      </c>
    </row>
    <row r="49" spans="1:7" ht="16.5" customHeight="1" x14ac:dyDescent="0.3">
      <c r="A49" s="61">
        <v>5</v>
      </c>
      <c r="B49" s="62">
        <v>83103219</v>
      </c>
      <c r="C49" s="62">
        <v>8137.6</v>
      </c>
      <c r="D49" s="63">
        <v>1.3</v>
      </c>
      <c r="E49" s="63">
        <v>4.2</v>
      </c>
    </row>
    <row r="50" spans="1:7" ht="16.5" customHeight="1" x14ac:dyDescent="0.3">
      <c r="A50" s="61">
        <v>6</v>
      </c>
      <c r="B50" s="65">
        <v>82948846</v>
      </c>
      <c r="C50" s="65">
        <v>8185</v>
      </c>
      <c r="D50" s="66">
        <v>1.3</v>
      </c>
      <c r="E50" s="66">
        <v>4.2</v>
      </c>
    </row>
    <row r="51" spans="1:7" ht="16.5" customHeight="1" x14ac:dyDescent="0.3">
      <c r="A51" s="67" t="s">
        <v>18</v>
      </c>
      <c r="B51" s="68">
        <f>AVERAGE(B45:B50)</f>
        <v>83158260.166666672</v>
      </c>
      <c r="C51" s="69">
        <f>AVERAGE(C45:C50)</f>
        <v>8115.333333333333</v>
      </c>
      <c r="D51" s="70">
        <f>AVERAGE(D45:D50)</f>
        <v>1.2833333333333332</v>
      </c>
      <c r="E51" s="70">
        <f>AVERAGE(E45:E50)</f>
        <v>4.2</v>
      </c>
    </row>
    <row r="52" spans="1:7" ht="16.5" customHeight="1" x14ac:dyDescent="0.3">
      <c r="A52" s="71" t="s">
        <v>19</v>
      </c>
      <c r="B52" s="72">
        <f>(STDEV(B45:B50)/B51)</f>
        <v>1.9720852223588377E-3</v>
      </c>
      <c r="C52" s="73"/>
      <c r="D52" s="73"/>
      <c r="E52" s="74"/>
    </row>
    <row r="53" spans="1:7" s="49" customFormat="1" ht="16.5" customHeight="1" x14ac:dyDescent="0.3">
      <c r="A53" s="75" t="s">
        <v>20</v>
      </c>
      <c r="B53" s="76">
        <f>COUNT(B45:B50)</f>
        <v>6</v>
      </c>
      <c r="C53" s="77"/>
      <c r="D53" s="78"/>
      <c r="E53" s="79"/>
    </row>
    <row r="54" spans="1:7" s="49" customFormat="1" ht="15.75" customHeight="1" x14ac:dyDescent="0.25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0" t="s">
        <v>22</v>
      </c>
      <c r="C55" s="81"/>
      <c r="D55" s="81"/>
      <c r="E55" s="81"/>
    </row>
    <row r="56" spans="1:7" ht="16.5" customHeight="1" x14ac:dyDescent="0.3">
      <c r="A56" s="56"/>
      <c r="B56" s="80" t="s">
        <v>23</v>
      </c>
      <c r="C56" s="81"/>
      <c r="D56" s="81"/>
      <c r="E56" s="81"/>
    </row>
    <row r="57" spans="1:7" ht="16.5" customHeight="1" x14ac:dyDescent="0.3">
      <c r="A57" s="56"/>
      <c r="B57" s="80" t="s">
        <v>24</v>
      </c>
      <c r="C57" s="81"/>
      <c r="D57" s="81"/>
      <c r="E57" s="81"/>
    </row>
    <row r="58" spans="1:7" ht="14.25" customHeight="1" thickBot="1" x14ac:dyDescent="0.3">
      <c r="A58" s="82"/>
      <c r="B58" s="83"/>
      <c r="D58" s="84"/>
      <c r="F58" s="85"/>
      <c r="G58" s="85"/>
    </row>
    <row r="59" spans="1:7" ht="15" customHeight="1" x14ac:dyDescent="0.3">
      <c r="B59" s="255" t="s">
        <v>26</v>
      </c>
      <c r="C59" s="255"/>
      <c r="E59" s="86" t="s">
        <v>27</v>
      </c>
      <c r="F59" s="87"/>
      <c r="G59" s="86" t="s">
        <v>28</v>
      </c>
    </row>
    <row r="60" spans="1:7" ht="15" customHeight="1" x14ac:dyDescent="0.3">
      <c r="A60" s="88" t="s">
        <v>29</v>
      </c>
      <c r="B60" s="89"/>
      <c r="C60" s="89"/>
      <c r="E60" s="89"/>
      <c r="G60" s="89"/>
    </row>
    <row r="61" spans="1:7" ht="15" customHeight="1" x14ac:dyDescent="0.3">
      <c r="A61" s="88" t="s">
        <v>30</v>
      </c>
      <c r="B61" s="90"/>
      <c r="C61" s="24" t="s">
        <v>133</v>
      </c>
      <c r="D61" s="25"/>
      <c r="E61" s="303">
        <v>42411</v>
      </c>
      <c r="G61" s="9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40" workbookViewId="0">
      <selection activeCell="B54" sqref="B54:D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59" t="s">
        <v>31</v>
      </c>
      <c r="B11" s="260"/>
      <c r="C11" s="260"/>
      <c r="D11" s="260"/>
      <c r="E11" s="260"/>
      <c r="F11" s="261"/>
      <c r="G11" s="41"/>
    </row>
    <row r="12" spans="1:7" ht="16.5" customHeight="1" x14ac:dyDescent="0.3">
      <c r="A12" s="258" t="s">
        <v>32</v>
      </c>
      <c r="B12" s="258"/>
      <c r="C12" s="258"/>
      <c r="D12" s="258"/>
      <c r="E12" s="258"/>
      <c r="F12" s="258"/>
      <c r="G12" s="40"/>
    </row>
    <row r="14" spans="1:7" ht="16.5" customHeight="1" x14ac:dyDescent="0.3">
      <c r="A14" s="263" t="s">
        <v>33</v>
      </c>
      <c r="B14" s="263"/>
      <c r="C14" s="10" t="s">
        <v>5</v>
      </c>
    </row>
    <row r="15" spans="1:7" ht="16.5" customHeight="1" x14ac:dyDescent="0.3">
      <c r="A15" s="263" t="s">
        <v>34</v>
      </c>
      <c r="B15" s="263"/>
      <c r="C15" s="10" t="s">
        <v>7</v>
      </c>
    </row>
    <row r="16" spans="1:7" ht="16.5" customHeight="1" x14ac:dyDescent="0.3">
      <c r="A16" s="263" t="s">
        <v>35</v>
      </c>
      <c r="B16" s="263"/>
      <c r="C16" s="10" t="s">
        <v>9</v>
      </c>
    </row>
    <row r="17" spans="1:5" ht="16.5" customHeight="1" x14ac:dyDescent="0.3">
      <c r="A17" s="263" t="s">
        <v>36</v>
      </c>
      <c r="B17" s="263"/>
      <c r="C17" s="10" t="s">
        <v>11</v>
      </c>
    </row>
    <row r="18" spans="1:5" ht="16.5" customHeight="1" x14ac:dyDescent="0.3">
      <c r="A18" s="263" t="s">
        <v>37</v>
      </c>
      <c r="B18" s="263"/>
      <c r="C18" s="47" t="s">
        <v>12</v>
      </c>
    </row>
    <row r="19" spans="1:5" ht="16.5" customHeight="1" x14ac:dyDescent="0.3">
      <c r="A19" s="263" t="s">
        <v>38</v>
      </c>
      <c r="B19" s="263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258" t="s">
        <v>1</v>
      </c>
      <c r="B21" s="258"/>
      <c r="C21" s="9" t="s">
        <v>39</v>
      </c>
      <c r="D21" s="16"/>
    </row>
    <row r="22" spans="1:5" ht="15.75" customHeight="1" x14ac:dyDescent="0.3">
      <c r="A22" s="262"/>
      <c r="B22" s="262"/>
      <c r="C22" s="7"/>
      <c r="D22" s="262"/>
      <c r="E22" s="262"/>
    </row>
    <row r="23" spans="1:5" ht="33.75" customHeight="1" x14ac:dyDescent="0.3">
      <c r="C23" s="36" t="s">
        <v>40</v>
      </c>
      <c r="D23" s="35" t="s">
        <v>41</v>
      </c>
      <c r="E23" s="2"/>
    </row>
    <row r="24" spans="1:5" ht="15.75" customHeight="1" x14ac:dyDescent="0.3">
      <c r="C24" s="45">
        <v>378.77</v>
      </c>
      <c r="D24" s="37">
        <f t="shared" ref="D24:D43" si="0">(C24-$C$46)/$C$46</f>
        <v>2.6988713449750397E-3</v>
      </c>
      <c r="E24" s="3"/>
    </row>
    <row r="25" spans="1:5" ht="15.75" customHeight="1" x14ac:dyDescent="0.3">
      <c r="C25" s="45">
        <v>372.35</v>
      </c>
      <c r="D25" s="38">
        <f t="shared" si="0"/>
        <v>-1.4296473465951642E-2</v>
      </c>
      <c r="E25" s="3"/>
    </row>
    <row r="26" spans="1:5" ht="15.75" customHeight="1" x14ac:dyDescent="0.3">
      <c r="C26" s="45">
        <v>374.24</v>
      </c>
      <c r="D26" s="38">
        <f t="shared" si="0"/>
        <v>-9.293171021613417E-3</v>
      </c>
      <c r="E26" s="3"/>
    </row>
    <row r="27" spans="1:5" ht="15.75" customHeight="1" x14ac:dyDescent="0.3">
      <c r="C27" s="45">
        <v>382.28</v>
      </c>
      <c r="D27" s="38">
        <f t="shared" si="0"/>
        <v>1.1990718741603214E-2</v>
      </c>
      <c r="E27" s="3"/>
    </row>
    <row r="28" spans="1:5" ht="15.75" customHeight="1" x14ac:dyDescent="0.3">
      <c r="C28" s="45">
        <v>377.47</v>
      </c>
      <c r="D28" s="38">
        <f t="shared" si="0"/>
        <v>-7.4255361673898753E-4</v>
      </c>
      <c r="E28" s="3"/>
    </row>
    <row r="29" spans="1:5" ht="15.75" customHeight="1" x14ac:dyDescent="0.3">
      <c r="C29" s="45">
        <v>376.11</v>
      </c>
      <c r="D29" s="38">
        <f t="shared" si="0"/>
        <v>-4.3428135766861321E-3</v>
      </c>
      <c r="E29" s="3"/>
    </row>
    <row r="30" spans="1:5" ht="15.75" customHeight="1" x14ac:dyDescent="0.3">
      <c r="C30" s="45">
        <v>378.92</v>
      </c>
      <c r="D30" s="38">
        <f t="shared" si="0"/>
        <v>3.0959588405575313E-3</v>
      </c>
      <c r="E30" s="3"/>
    </row>
    <row r="31" spans="1:5" ht="15.75" customHeight="1" x14ac:dyDescent="0.3">
      <c r="C31" s="45">
        <v>372.04</v>
      </c>
      <c r="D31" s="38">
        <f t="shared" si="0"/>
        <v>-1.5117120956821944E-2</v>
      </c>
      <c r="E31" s="3"/>
    </row>
    <row r="32" spans="1:5" ht="15.75" customHeight="1" x14ac:dyDescent="0.3">
      <c r="C32" s="45">
        <v>376.27</v>
      </c>
      <c r="D32" s="38">
        <f t="shared" si="0"/>
        <v>-3.9192535813983211E-3</v>
      </c>
      <c r="E32" s="3"/>
    </row>
    <row r="33" spans="1:7" ht="15.75" customHeight="1" x14ac:dyDescent="0.3">
      <c r="C33" s="45">
        <v>376.19</v>
      </c>
      <c r="D33" s="38">
        <f t="shared" si="0"/>
        <v>-4.1310335790422266E-3</v>
      </c>
      <c r="E33" s="3"/>
    </row>
    <row r="34" spans="1:7" ht="15.75" customHeight="1" x14ac:dyDescent="0.3">
      <c r="C34" s="45">
        <v>379.53</v>
      </c>
      <c r="D34" s="38">
        <f t="shared" si="0"/>
        <v>4.7107813225925168E-3</v>
      </c>
      <c r="E34" s="3"/>
    </row>
    <row r="35" spans="1:7" ht="15.75" customHeight="1" x14ac:dyDescent="0.3">
      <c r="C35" s="45">
        <v>376.71</v>
      </c>
      <c r="D35" s="38">
        <f t="shared" si="0"/>
        <v>-2.7544635943566155E-3</v>
      </c>
      <c r="E35" s="3"/>
    </row>
    <row r="36" spans="1:7" ht="15.75" customHeight="1" x14ac:dyDescent="0.3">
      <c r="C36" s="45">
        <v>378.61</v>
      </c>
      <c r="D36" s="38">
        <f t="shared" si="0"/>
        <v>2.2753113496872287E-3</v>
      </c>
      <c r="E36" s="3"/>
    </row>
    <row r="37" spans="1:7" ht="15.75" customHeight="1" x14ac:dyDescent="0.3">
      <c r="C37" s="45">
        <v>377.24</v>
      </c>
      <c r="D37" s="38">
        <f t="shared" si="0"/>
        <v>-1.3514211099653849E-3</v>
      </c>
      <c r="E37" s="3"/>
    </row>
    <row r="38" spans="1:7" ht="15.75" customHeight="1" x14ac:dyDescent="0.3">
      <c r="C38" s="45">
        <v>380.36</v>
      </c>
      <c r="D38" s="38">
        <f t="shared" si="0"/>
        <v>6.9079987981485813E-3</v>
      </c>
      <c r="E38" s="3"/>
    </row>
    <row r="39" spans="1:7" ht="15.75" customHeight="1" x14ac:dyDescent="0.3">
      <c r="C39" s="45">
        <v>378.57</v>
      </c>
      <c r="D39" s="38">
        <f t="shared" si="0"/>
        <v>2.169421350865201E-3</v>
      </c>
      <c r="E39" s="3"/>
    </row>
    <row r="40" spans="1:7" ht="15.75" customHeight="1" x14ac:dyDescent="0.3">
      <c r="C40" s="45">
        <v>377.7</v>
      </c>
      <c r="D40" s="38">
        <f t="shared" si="0"/>
        <v>-1.3368612351274066E-4</v>
      </c>
      <c r="E40" s="3"/>
    </row>
    <row r="41" spans="1:7" ht="15.75" customHeight="1" x14ac:dyDescent="0.3">
      <c r="C41" s="45">
        <v>385.38</v>
      </c>
      <c r="D41" s="38">
        <f t="shared" si="0"/>
        <v>2.0197193650306242E-2</v>
      </c>
      <c r="E41" s="3"/>
    </row>
    <row r="42" spans="1:7" ht="15.75" customHeight="1" x14ac:dyDescent="0.3">
      <c r="C42" s="45">
        <v>379.05</v>
      </c>
      <c r="D42" s="38">
        <f t="shared" si="0"/>
        <v>3.4401013367289343E-3</v>
      </c>
      <c r="E42" s="3"/>
    </row>
    <row r="43" spans="1:7" ht="16.5" customHeight="1" x14ac:dyDescent="0.3">
      <c r="C43" s="46">
        <v>377.22</v>
      </c>
      <c r="D43" s="39">
        <f t="shared" si="0"/>
        <v>-1.4043661093763235E-3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42</v>
      </c>
      <c r="C45" s="33">
        <f>SUM(C24:C44)</f>
        <v>7555.0099999999993</v>
      </c>
      <c r="D45" s="28"/>
      <c r="E45" s="4"/>
    </row>
    <row r="46" spans="1:7" ht="17.25" customHeight="1" x14ac:dyDescent="0.3">
      <c r="B46" s="32" t="s">
        <v>43</v>
      </c>
      <c r="C46" s="34">
        <f>AVERAGE(C24:C44)</f>
        <v>377.75049999999999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43</v>
      </c>
      <c r="C48" s="35" t="s">
        <v>44</v>
      </c>
      <c r="D48" s="30"/>
      <c r="G48" s="8"/>
    </row>
    <row r="49" spans="1:6" ht="17.25" customHeight="1" x14ac:dyDescent="0.3">
      <c r="B49" s="256">
        <f>C46</f>
        <v>377.75049999999999</v>
      </c>
      <c r="C49" s="43">
        <f>-IF(C46&lt;=80,10%,IF(C46&lt;250,7.5%,5%))</f>
        <v>-0.05</v>
      </c>
      <c r="D49" s="31">
        <f>IF(C46&lt;=80,C46*0.9,IF(C46&lt;250,C46*0.925,C46*0.95))</f>
        <v>358.86297499999995</v>
      </c>
    </row>
    <row r="50" spans="1:6" ht="17.25" customHeight="1" x14ac:dyDescent="0.3">
      <c r="B50" s="257"/>
      <c r="C50" s="44">
        <f>IF(C46&lt;=80, 10%, IF(C46&lt;250, 7.5%, 5%))</f>
        <v>0.05</v>
      </c>
      <c r="D50" s="31">
        <f>IF(C46&lt;=80, C46*1.1, IF(C46&lt;250, C46*1.075, C46*1.05))</f>
        <v>396.63802500000003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 x14ac:dyDescent="0.3">
      <c r="A53" s="20" t="s">
        <v>29</v>
      </c>
      <c r="B53" s="21"/>
      <c r="C53" s="22"/>
      <c r="D53" s="21"/>
      <c r="E53" s="11"/>
      <c r="F53" s="23"/>
    </row>
    <row r="54" spans="1:6" ht="34.5" customHeight="1" x14ac:dyDescent="0.3">
      <c r="A54" s="20" t="s">
        <v>30</v>
      </c>
      <c r="B54" s="24" t="s">
        <v>133</v>
      </c>
      <c r="C54" s="25"/>
      <c r="D54" s="303">
        <v>42411</v>
      </c>
      <c r="E54" s="11"/>
      <c r="F54" s="2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108" zoomScale="55" zoomScaleNormal="40" zoomScalePageLayoutView="55" workbookViewId="0">
      <selection activeCell="C124" sqref="C124:E124"/>
    </sheetView>
  </sheetViews>
  <sheetFormatPr defaultColWidth="9.140625" defaultRowHeight="13.5" x14ac:dyDescent="0.25"/>
  <cols>
    <col min="1" max="1" width="55.42578125" style="49" customWidth="1"/>
    <col min="2" max="2" width="33.7109375" style="49" customWidth="1"/>
    <col min="3" max="3" width="42.28515625" style="49" customWidth="1"/>
    <col min="4" max="4" width="30.5703125" style="49" customWidth="1"/>
    <col min="5" max="5" width="39.85546875" style="49" customWidth="1"/>
    <col min="6" max="6" width="30.7109375" style="49" customWidth="1"/>
    <col min="7" max="7" width="39.85546875" style="49" customWidth="1"/>
    <col min="8" max="8" width="30" style="49" customWidth="1"/>
    <col min="9" max="9" width="30.28515625" style="49" hidden="1" customWidth="1"/>
    <col min="10" max="10" width="30.42578125" style="49" customWidth="1"/>
    <col min="11" max="11" width="21.28515625" style="49" customWidth="1"/>
    <col min="12" max="12" width="9.140625" style="49"/>
    <col min="13" max="16384" width="9.140625" style="85"/>
  </cols>
  <sheetData>
    <row r="1" spans="1:9" ht="18.75" customHeight="1" x14ac:dyDescent="0.25">
      <c r="A1" s="297" t="s">
        <v>45</v>
      </c>
      <c r="B1" s="297"/>
      <c r="C1" s="297"/>
      <c r="D1" s="297"/>
      <c r="E1" s="297"/>
      <c r="F1" s="297"/>
      <c r="G1" s="297"/>
      <c r="H1" s="297"/>
      <c r="I1" s="297"/>
    </row>
    <row r="2" spans="1:9" ht="18.75" customHeight="1" x14ac:dyDescent="0.25">
      <c r="A2" s="297"/>
      <c r="B2" s="297"/>
      <c r="C2" s="297"/>
      <c r="D2" s="297"/>
      <c r="E2" s="297"/>
      <c r="F2" s="297"/>
      <c r="G2" s="297"/>
      <c r="H2" s="297"/>
      <c r="I2" s="297"/>
    </row>
    <row r="3" spans="1:9" ht="18.75" customHeight="1" x14ac:dyDescent="0.25">
      <c r="A3" s="297"/>
      <c r="B3" s="297"/>
      <c r="C3" s="297"/>
      <c r="D3" s="297"/>
      <c r="E3" s="297"/>
      <c r="F3" s="297"/>
      <c r="G3" s="297"/>
      <c r="H3" s="297"/>
      <c r="I3" s="297"/>
    </row>
    <row r="4" spans="1:9" ht="18.75" customHeight="1" x14ac:dyDescent="0.25">
      <c r="A4" s="297"/>
      <c r="B4" s="297"/>
      <c r="C4" s="297"/>
      <c r="D4" s="297"/>
      <c r="E4" s="297"/>
      <c r="F4" s="297"/>
      <c r="G4" s="297"/>
      <c r="H4" s="297"/>
      <c r="I4" s="297"/>
    </row>
    <row r="5" spans="1:9" ht="18.75" customHeight="1" x14ac:dyDescent="0.25">
      <c r="A5" s="297"/>
      <c r="B5" s="297"/>
      <c r="C5" s="297"/>
      <c r="D5" s="297"/>
      <c r="E5" s="297"/>
      <c r="F5" s="297"/>
      <c r="G5" s="297"/>
      <c r="H5" s="297"/>
      <c r="I5" s="297"/>
    </row>
    <row r="6" spans="1:9" ht="18.75" customHeight="1" x14ac:dyDescent="0.25">
      <c r="A6" s="297"/>
      <c r="B6" s="297"/>
      <c r="C6" s="297"/>
      <c r="D6" s="297"/>
      <c r="E6" s="297"/>
      <c r="F6" s="297"/>
      <c r="G6" s="297"/>
      <c r="H6" s="297"/>
      <c r="I6" s="297"/>
    </row>
    <row r="7" spans="1:9" ht="18.75" customHeight="1" x14ac:dyDescent="0.25">
      <c r="A7" s="297"/>
      <c r="B7" s="297"/>
      <c r="C7" s="297"/>
      <c r="D7" s="297"/>
      <c r="E7" s="297"/>
      <c r="F7" s="297"/>
      <c r="G7" s="297"/>
      <c r="H7" s="297"/>
      <c r="I7" s="297"/>
    </row>
    <row r="8" spans="1:9" x14ac:dyDescent="0.25">
      <c r="A8" s="298" t="s">
        <v>46</v>
      </c>
      <c r="B8" s="298"/>
      <c r="C8" s="298"/>
      <c r="D8" s="298"/>
      <c r="E8" s="298"/>
      <c r="F8" s="298"/>
      <c r="G8" s="298"/>
      <c r="H8" s="298"/>
      <c r="I8" s="298"/>
    </row>
    <row r="9" spans="1:9" x14ac:dyDescent="0.25">
      <c r="A9" s="298"/>
      <c r="B9" s="298"/>
      <c r="C9" s="298"/>
      <c r="D9" s="298"/>
      <c r="E9" s="298"/>
      <c r="F9" s="298"/>
      <c r="G9" s="298"/>
      <c r="H9" s="298"/>
      <c r="I9" s="298"/>
    </row>
    <row r="10" spans="1:9" x14ac:dyDescent="0.25">
      <c r="A10" s="298"/>
      <c r="B10" s="298"/>
      <c r="C10" s="298"/>
      <c r="D10" s="298"/>
      <c r="E10" s="298"/>
      <c r="F10" s="298"/>
      <c r="G10" s="298"/>
      <c r="H10" s="298"/>
      <c r="I10" s="298"/>
    </row>
    <row r="11" spans="1:9" x14ac:dyDescent="0.25">
      <c r="A11" s="298"/>
      <c r="B11" s="298"/>
      <c r="C11" s="298"/>
      <c r="D11" s="298"/>
      <c r="E11" s="298"/>
      <c r="F11" s="298"/>
      <c r="G11" s="298"/>
      <c r="H11" s="298"/>
      <c r="I11" s="298"/>
    </row>
    <row r="12" spans="1:9" x14ac:dyDescent="0.25">
      <c r="A12" s="298"/>
      <c r="B12" s="298"/>
      <c r="C12" s="298"/>
      <c r="D12" s="298"/>
      <c r="E12" s="298"/>
      <c r="F12" s="298"/>
      <c r="G12" s="298"/>
      <c r="H12" s="298"/>
      <c r="I12" s="298"/>
    </row>
    <row r="13" spans="1:9" x14ac:dyDescent="0.25">
      <c r="A13" s="298"/>
      <c r="B13" s="298"/>
      <c r="C13" s="298"/>
      <c r="D13" s="298"/>
      <c r="E13" s="298"/>
      <c r="F13" s="298"/>
      <c r="G13" s="298"/>
      <c r="H13" s="298"/>
      <c r="I13" s="298"/>
    </row>
    <row r="14" spans="1:9" x14ac:dyDescent="0.25">
      <c r="A14" s="298"/>
      <c r="B14" s="298"/>
      <c r="C14" s="298"/>
      <c r="D14" s="298"/>
      <c r="E14" s="298"/>
      <c r="F14" s="298"/>
      <c r="G14" s="298"/>
      <c r="H14" s="298"/>
      <c r="I14" s="298"/>
    </row>
    <row r="15" spans="1:9" ht="19.5" customHeight="1" thickBot="1" x14ac:dyDescent="0.35">
      <c r="A15" s="92"/>
    </row>
    <row r="16" spans="1:9" ht="19.5" customHeight="1" thickBot="1" x14ac:dyDescent="0.35">
      <c r="A16" s="299" t="s">
        <v>31</v>
      </c>
      <c r="B16" s="300"/>
      <c r="C16" s="300"/>
      <c r="D16" s="300"/>
      <c r="E16" s="300"/>
      <c r="F16" s="300"/>
      <c r="G16" s="300"/>
      <c r="H16" s="301"/>
    </row>
    <row r="17" spans="1:14" ht="20.25" customHeight="1" x14ac:dyDescent="0.25">
      <c r="A17" s="302" t="s">
        <v>47</v>
      </c>
      <c r="B17" s="302"/>
      <c r="C17" s="302"/>
      <c r="D17" s="302"/>
      <c r="E17" s="302"/>
      <c r="F17" s="302"/>
      <c r="G17" s="302"/>
      <c r="H17" s="302"/>
    </row>
    <row r="18" spans="1:14" ht="26.25" customHeight="1" x14ac:dyDescent="0.4">
      <c r="A18" s="93" t="s">
        <v>33</v>
      </c>
      <c r="B18" s="295" t="s">
        <v>125</v>
      </c>
      <c r="C18" s="295"/>
      <c r="D18" s="94"/>
      <c r="E18" s="95"/>
      <c r="F18" s="96"/>
      <c r="G18" s="96"/>
      <c r="H18" s="96"/>
    </row>
    <row r="19" spans="1:14" ht="26.25" customHeight="1" x14ac:dyDescent="0.4">
      <c r="A19" s="93" t="s">
        <v>34</v>
      </c>
      <c r="B19" s="97" t="s">
        <v>128</v>
      </c>
      <c r="C19" s="96">
        <v>29</v>
      </c>
      <c r="D19" s="96"/>
      <c r="E19" s="96"/>
      <c r="F19" s="96"/>
      <c r="G19" s="96"/>
      <c r="H19" s="96"/>
    </row>
    <row r="20" spans="1:14" ht="26.25" customHeight="1" x14ac:dyDescent="0.4">
      <c r="A20" s="93" t="s">
        <v>35</v>
      </c>
      <c r="B20" s="294" t="s">
        <v>129</v>
      </c>
      <c r="C20" s="294"/>
      <c r="D20" s="96"/>
      <c r="E20" s="96"/>
      <c r="F20" s="96"/>
      <c r="G20" s="96"/>
      <c r="H20" s="96"/>
    </row>
    <row r="21" spans="1:14" ht="26.25" customHeight="1" x14ac:dyDescent="0.4">
      <c r="A21" s="93" t="s">
        <v>36</v>
      </c>
      <c r="B21" s="294" t="s">
        <v>130</v>
      </c>
      <c r="C21" s="294"/>
      <c r="D21" s="294"/>
      <c r="E21" s="294"/>
      <c r="F21" s="294"/>
      <c r="G21" s="294"/>
      <c r="H21" s="294"/>
      <c r="I21" s="98"/>
    </row>
    <row r="22" spans="1:14" ht="26.25" customHeight="1" x14ac:dyDescent="0.4">
      <c r="A22" s="93" t="s">
        <v>37</v>
      </c>
      <c r="B22" s="99" t="s">
        <v>127</v>
      </c>
      <c r="C22" s="96"/>
      <c r="D22" s="96"/>
      <c r="E22" s="96"/>
      <c r="F22" s="96"/>
      <c r="G22" s="96"/>
      <c r="H22" s="96"/>
    </row>
    <row r="23" spans="1:14" ht="26.25" customHeight="1" x14ac:dyDescent="0.4">
      <c r="A23" s="93" t="s">
        <v>38</v>
      </c>
      <c r="B23" s="99"/>
      <c r="C23" s="96"/>
      <c r="D23" s="96"/>
      <c r="E23" s="96"/>
      <c r="F23" s="96"/>
      <c r="G23" s="96"/>
      <c r="H23" s="96"/>
    </row>
    <row r="24" spans="1:14" ht="18.75" x14ac:dyDescent="0.3">
      <c r="A24" s="93"/>
      <c r="B24" s="100"/>
    </row>
    <row r="25" spans="1:14" ht="18.75" x14ac:dyDescent="0.3">
      <c r="A25" s="101" t="s">
        <v>1</v>
      </c>
      <c r="B25" s="100"/>
    </row>
    <row r="26" spans="1:14" ht="26.25" customHeight="1" x14ac:dyDescent="0.4">
      <c r="A26" s="102" t="s">
        <v>4</v>
      </c>
      <c r="B26" s="295" t="s">
        <v>131</v>
      </c>
      <c r="C26" s="295"/>
    </row>
    <row r="27" spans="1:14" ht="26.25" customHeight="1" x14ac:dyDescent="0.4">
      <c r="A27" s="103" t="s">
        <v>48</v>
      </c>
      <c r="B27" s="296" t="s">
        <v>132</v>
      </c>
      <c r="C27" s="296"/>
    </row>
    <row r="28" spans="1:14" ht="27" customHeight="1" thickBot="1" x14ac:dyDescent="0.45">
      <c r="A28" s="103" t="s">
        <v>6</v>
      </c>
      <c r="B28" s="104">
        <v>99.4</v>
      </c>
    </row>
    <row r="29" spans="1:14" s="59" customFormat="1" ht="27" customHeight="1" thickBot="1" x14ac:dyDescent="0.45">
      <c r="A29" s="103" t="s">
        <v>49</v>
      </c>
      <c r="B29" s="105">
        <v>0</v>
      </c>
      <c r="C29" s="274" t="s">
        <v>50</v>
      </c>
      <c r="D29" s="275"/>
      <c r="E29" s="275"/>
      <c r="F29" s="275"/>
      <c r="G29" s="276"/>
      <c r="I29" s="106"/>
      <c r="J29" s="106"/>
      <c r="K29" s="106"/>
      <c r="L29" s="106"/>
    </row>
    <row r="30" spans="1:14" s="59" customFormat="1" ht="19.5" customHeight="1" thickBot="1" x14ac:dyDescent="0.35">
      <c r="A30" s="103" t="s">
        <v>51</v>
      </c>
      <c r="B30" s="107">
        <f>B28-B29</f>
        <v>99.4</v>
      </c>
      <c r="C30" s="108"/>
      <c r="D30" s="108"/>
      <c r="E30" s="108"/>
      <c r="F30" s="108"/>
      <c r="G30" s="109"/>
      <c r="I30" s="106"/>
      <c r="J30" s="106"/>
      <c r="K30" s="106"/>
      <c r="L30" s="106"/>
    </row>
    <row r="31" spans="1:14" s="59" customFormat="1" ht="27" customHeight="1" thickBot="1" x14ac:dyDescent="0.45">
      <c r="A31" s="103" t="s">
        <v>52</v>
      </c>
      <c r="B31" s="110">
        <v>1</v>
      </c>
      <c r="C31" s="277" t="s">
        <v>53</v>
      </c>
      <c r="D31" s="278"/>
      <c r="E31" s="278"/>
      <c r="F31" s="278"/>
      <c r="G31" s="278"/>
      <c r="H31" s="279"/>
      <c r="I31" s="106"/>
      <c r="J31" s="106"/>
      <c r="K31" s="106"/>
      <c r="L31" s="106"/>
    </row>
    <row r="32" spans="1:14" s="59" customFormat="1" ht="27" customHeight="1" thickBot="1" x14ac:dyDescent="0.45">
      <c r="A32" s="103" t="s">
        <v>54</v>
      </c>
      <c r="B32" s="110">
        <v>1</v>
      </c>
      <c r="C32" s="277" t="s">
        <v>55</v>
      </c>
      <c r="D32" s="278"/>
      <c r="E32" s="278"/>
      <c r="F32" s="278"/>
      <c r="G32" s="278"/>
      <c r="H32" s="279"/>
      <c r="I32" s="106"/>
      <c r="J32" s="106"/>
      <c r="K32" s="106"/>
      <c r="L32" s="111"/>
      <c r="M32" s="111"/>
      <c r="N32" s="112"/>
    </row>
    <row r="33" spans="1:14" s="59" customFormat="1" ht="17.25" customHeight="1" x14ac:dyDescent="0.3">
      <c r="A33" s="103"/>
      <c r="B33" s="113"/>
      <c r="C33" s="114"/>
      <c r="D33" s="114"/>
      <c r="E33" s="114"/>
      <c r="F33" s="114"/>
      <c r="G33" s="114"/>
      <c r="H33" s="114"/>
      <c r="I33" s="106"/>
      <c r="J33" s="106"/>
      <c r="K33" s="106"/>
      <c r="L33" s="111"/>
      <c r="M33" s="111"/>
      <c r="N33" s="112"/>
    </row>
    <row r="34" spans="1:14" s="59" customFormat="1" ht="18.75" x14ac:dyDescent="0.3">
      <c r="A34" s="103" t="s">
        <v>56</v>
      </c>
      <c r="B34" s="115">
        <f>B31/B32</f>
        <v>1</v>
      </c>
      <c r="C34" s="92" t="s">
        <v>57</v>
      </c>
      <c r="D34" s="92"/>
      <c r="E34" s="92"/>
      <c r="F34" s="92"/>
      <c r="G34" s="92"/>
      <c r="I34" s="106"/>
      <c r="J34" s="106"/>
      <c r="K34" s="106"/>
      <c r="L34" s="111"/>
      <c r="M34" s="111"/>
      <c r="N34" s="112"/>
    </row>
    <row r="35" spans="1:14" s="59" customFormat="1" ht="19.5" customHeight="1" thickBot="1" x14ac:dyDescent="0.35">
      <c r="A35" s="103"/>
      <c r="B35" s="107"/>
      <c r="G35" s="92"/>
      <c r="I35" s="106"/>
      <c r="J35" s="106"/>
      <c r="K35" s="106"/>
      <c r="L35" s="111"/>
      <c r="M35" s="111"/>
      <c r="N35" s="112"/>
    </row>
    <row r="36" spans="1:14" s="59" customFormat="1" ht="27" customHeight="1" thickBot="1" x14ac:dyDescent="0.45">
      <c r="A36" s="116" t="s">
        <v>58</v>
      </c>
      <c r="B36" s="117">
        <v>25</v>
      </c>
      <c r="C36" s="92"/>
      <c r="D36" s="280" t="s">
        <v>59</v>
      </c>
      <c r="E36" s="293"/>
      <c r="F36" s="280" t="s">
        <v>60</v>
      </c>
      <c r="G36" s="281"/>
      <c r="J36" s="106"/>
      <c r="K36" s="106"/>
      <c r="L36" s="111"/>
      <c r="M36" s="111"/>
      <c r="N36" s="112"/>
    </row>
    <row r="37" spans="1:14" s="59" customFormat="1" ht="27" customHeight="1" thickBot="1" x14ac:dyDescent="0.45">
      <c r="A37" s="118" t="s">
        <v>61</v>
      </c>
      <c r="B37" s="119">
        <v>10</v>
      </c>
      <c r="C37" s="120" t="s">
        <v>62</v>
      </c>
      <c r="D37" s="121" t="s">
        <v>63</v>
      </c>
      <c r="E37" s="122" t="s">
        <v>64</v>
      </c>
      <c r="F37" s="121" t="s">
        <v>63</v>
      </c>
      <c r="G37" s="123" t="s">
        <v>64</v>
      </c>
      <c r="I37" s="124" t="s">
        <v>65</v>
      </c>
      <c r="J37" s="106"/>
      <c r="K37" s="106"/>
      <c r="L37" s="111"/>
      <c r="M37" s="111"/>
      <c r="N37" s="112"/>
    </row>
    <row r="38" spans="1:14" s="59" customFormat="1" ht="26.25" customHeight="1" x14ac:dyDescent="0.4">
      <c r="A38" s="118" t="s">
        <v>66</v>
      </c>
      <c r="B38" s="119">
        <v>25</v>
      </c>
      <c r="C38" s="125">
        <v>1</v>
      </c>
      <c r="D38" s="126">
        <v>83197948</v>
      </c>
      <c r="E38" s="127">
        <f>IF(ISBLANK(D38),"-",$D$48/$D$45*D38)</f>
        <v>80095836.261588678</v>
      </c>
      <c r="F38" s="126">
        <v>95009689</v>
      </c>
      <c r="G38" s="128">
        <f>IF(ISBLANK(F38),"-",$D$48/$F$45*F38)</f>
        <v>81695032.588694558</v>
      </c>
      <c r="I38" s="129"/>
      <c r="J38" s="106"/>
      <c r="K38" s="106"/>
      <c r="L38" s="111"/>
      <c r="M38" s="111"/>
      <c r="N38" s="112"/>
    </row>
    <row r="39" spans="1:14" s="59" customFormat="1" ht="26.25" customHeight="1" x14ac:dyDescent="0.4">
      <c r="A39" s="118" t="s">
        <v>67</v>
      </c>
      <c r="B39" s="119">
        <v>1</v>
      </c>
      <c r="C39" s="130">
        <v>2</v>
      </c>
      <c r="D39" s="131">
        <v>83452311</v>
      </c>
      <c r="E39" s="132">
        <f>IF(ISBLANK(D39),"-",$D$48/$D$45*D39)</f>
        <v>80340715.104021251</v>
      </c>
      <c r="F39" s="131">
        <v>95157960</v>
      </c>
      <c r="G39" s="133">
        <f>IF(ISBLANK(F39),"-",$D$48/$F$45*F39)</f>
        <v>81822524.892947435</v>
      </c>
      <c r="I39" s="264">
        <f>ABS((F43/D43*D42)-F42)/D42</f>
        <v>2.0859564996360908E-2</v>
      </c>
      <c r="J39" s="106"/>
      <c r="K39" s="106"/>
      <c r="L39" s="111"/>
      <c r="M39" s="111"/>
      <c r="N39" s="112"/>
    </row>
    <row r="40" spans="1:14" ht="26.25" customHeight="1" x14ac:dyDescent="0.4">
      <c r="A40" s="118" t="s">
        <v>68</v>
      </c>
      <c r="B40" s="119">
        <v>1</v>
      </c>
      <c r="C40" s="130">
        <v>3</v>
      </c>
      <c r="D40" s="131">
        <v>83309788</v>
      </c>
      <c r="E40" s="132">
        <f>IF(ISBLANK(D40),"-",$D$48/$D$45*D40)</f>
        <v>80203506.204692274</v>
      </c>
      <c r="F40" s="131">
        <v>94905983</v>
      </c>
      <c r="G40" s="133">
        <f>IF(ISBLANK(F40),"-",$D$48/$F$45*F40)</f>
        <v>81605859.9460008</v>
      </c>
      <c r="I40" s="264"/>
      <c r="L40" s="111"/>
      <c r="M40" s="111"/>
      <c r="N40" s="92"/>
    </row>
    <row r="41" spans="1:14" ht="27" customHeight="1" thickBot="1" x14ac:dyDescent="0.45">
      <c r="A41" s="118" t="s">
        <v>69</v>
      </c>
      <c r="B41" s="119">
        <v>1</v>
      </c>
      <c r="C41" s="134">
        <v>4</v>
      </c>
      <c r="D41" s="135"/>
      <c r="E41" s="136" t="str">
        <f>IF(ISBLANK(D41),"-",$D$48/$D$45*D41)</f>
        <v>-</v>
      </c>
      <c r="F41" s="135"/>
      <c r="G41" s="137" t="str">
        <f>IF(ISBLANK(F41),"-",$D$48/$F$45*F41)</f>
        <v>-</v>
      </c>
      <c r="I41" s="138"/>
      <c r="L41" s="111"/>
      <c r="M41" s="111"/>
      <c r="N41" s="92"/>
    </row>
    <row r="42" spans="1:14" ht="27" customHeight="1" thickBot="1" x14ac:dyDescent="0.45">
      <c r="A42" s="118" t="s">
        <v>70</v>
      </c>
      <c r="B42" s="119">
        <v>1</v>
      </c>
      <c r="C42" s="139" t="s">
        <v>71</v>
      </c>
      <c r="D42" s="140">
        <f>AVERAGE(D38:D41)</f>
        <v>83320015.666666672</v>
      </c>
      <c r="E42" s="141">
        <f>AVERAGE(E38:E41)</f>
        <v>80213352.523434073</v>
      </c>
      <c r="F42" s="140">
        <f>AVERAGE(F38:F41)</f>
        <v>95024544</v>
      </c>
      <c r="G42" s="142">
        <f>AVERAGE(G38:G41)</f>
        <v>81707805.809214279</v>
      </c>
      <c r="H42" s="83"/>
    </row>
    <row r="43" spans="1:14" ht="26.25" customHeight="1" x14ac:dyDescent="0.4">
      <c r="A43" s="118" t="s">
        <v>72</v>
      </c>
      <c r="B43" s="119">
        <v>1</v>
      </c>
      <c r="C43" s="143" t="s">
        <v>73</v>
      </c>
      <c r="D43" s="144">
        <v>20.9</v>
      </c>
      <c r="E43" s="92"/>
      <c r="F43" s="144">
        <v>23.4</v>
      </c>
      <c r="H43" s="83"/>
    </row>
    <row r="44" spans="1:14" ht="26.25" customHeight="1" x14ac:dyDescent="0.4">
      <c r="A44" s="118" t="s">
        <v>74</v>
      </c>
      <c r="B44" s="119">
        <v>1</v>
      </c>
      <c r="C44" s="145" t="s">
        <v>75</v>
      </c>
      <c r="D44" s="146">
        <f>D43*$B$34</f>
        <v>20.9</v>
      </c>
      <c r="E44" s="147"/>
      <c r="F44" s="146">
        <f>F43*$B$34</f>
        <v>23.4</v>
      </c>
      <c r="H44" s="83"/>
    </row>
    <row r="45" spans="1:14" ht="19.5" customHeight="1" thickBot="1" x14ac:dyDescent="0.35">
      <c r="A45" s="118" t="s">
        <v>76</v>
      </c>
      <c r="B45" s="130">
        <f>(B44/B43)*(B42/B41)*(B40/B39)*(B38/B37)*B36</f>
        <v>62.5</v>
      </c>
      <c r="C45" s="145" t="s">
        <v>77</v>
      </c>
      <c r="D45" s="148">
        <f>D44*$B$30/100</f>
        <v>20.7746</v>
      </c>
      <c r="E45" s="149"/>
      <c r="F45" s="148">
        <f>F44*$B$30/100</f>
        <v>23.259599999999999</v>
      </c>
      <c r="H45" s="83"/>
    </row>
    <row r="46" spans="1:14" ht="19.5" customHeight="1" thickBot="1" x14ac:dyDescent="0.35">
      <c r="A46" s="265" t="s">
        <v>78</v>
      </c>
      <c r="B46" s="269"/>
      <c r="C46" s="145" t="s">
        <v>79</v>
      </c>
      <c r="D46" s="150">
        <f>D45/$B$45</f>
        <v>0.33239360000000001</v>
      </c>
      <c r="E46" s="151"/>
      <c r="F46" s="152">
        <f>F45/$B$45</f>
        <v>0.37215359999999997</v>
      </c>
      <c r="H46" s="83"/>
    </row>
    <row r="47" spans="1:14" ht="27" customHeight="1" thickBot="1" x14ac:dyDescent="0.45">
      <c r="A47" s="267"/>
      <c r="B47" s="270"/>
      <c r="C47" s="153" t="s">
        <v>80</v>
      </c>
      <c r="D47" s="154">
        <v>0.32</v>
      </c>
      <c r="E47" s="155"/>
      <c r="F47" s="151"/>
      <c r="H47" s="83"/>
    </row>
    <row r="48" spans="1:14" ht="18.75" x14ac:dyDescent="0.3">
      <c r="C48" s="156" t="s">
        <v>81</v>
      </c>
      <c r="D48" s="148">
        <f>D47*$B$45</f>
        <v>20</v>
      </c>
      <c r="F48" s="157"/>
      <c r="H48" s="83"/>
    </row>
    <row r="49" spans="1:12" ht="19.5" customHeight="1" thickBot="1" x14ac:dyDescent="0.35">
      <c r="C49" s="158" t="s">
        <v>82</v>
      </c>
      <c r="D49" s="159">
        <f>D48/B34</f>
        <v>20</v>
      </c>
      <c r="F49" s="157"/>
      <c r="H49" s="83"/>
    </row>
    <row r="50" spans="1:12" ht="18.75" x14ac:dyDescent="0.3">
      <c r="C50" s="116" t="s">
        <v>83</v>
      </c>
      <c r="D50" s="160">
        <f>AVERAGE(E38:E41,G38:G41)</f>
        <v>80960579.166324168</v>
      </c>
      <c r="F50" s="161"/>
      <c r="H50" s="83"/>
    </row>
    <row r="51" spans="1:12" ht="18.75" x14ac:dyDescent="0.3">
      <c r="C51" s="118" t="s">
        <v>84</v>
      </c>
      <c r="D51" s="162">
        <f>STDEV(E38:E41,G38:G41)/D50</f>
        <v>1.0191350794923839E-2</v>
      </c>
      <c r="F51" s="161"/>
      <c r="H51" s="83"/>
    </row>
    <row r="52" spans="1:12" ht="19.5" customHeight="1" thickBot="1" x14ac:dyDescent="0.35">
      <c r="C52" s="163" t="s">
        <v>20</v>
      </c>
      <c r="D52" s="164">
        <f>COUNT(E38:E41,G38:G41)</f>
        <v>6</v>
      </c>
      <c r="F52" s="161"/>
    </row>
    <row r="54" spans="1:12" ht="18.75" x14ac:dyDescent="0.3">
      <c r="A54" s="165" t="s">
        <v>1</v>
      </c>
      <c r="B54" s="166" t="s">
        <v>85</v>
      </c>
    </row>
    <row r="55" spans="1:12" ht="18.75" x14ac:dyDescent="0.3">
      <c r="A55" s="92" t="s">
        <v>86</v>
      </c>
      <c r="B55" s="167" t="str">
        <f>B21</f>
        <v>Each uncoated tablet contains: 16 mg Betahistine dihydrochloride
Betahistine dihydrochloride Ph.Eur 16 mg</v>
      </c>
    </row>
    <row r="56" spans="1:12" ht="26.25" customHeight="1" x14ac:dyDescent="0.4">
      <c r="A56" s="167" t="s">
        <v>87</v>
      </c>
      <c r="B56" s="168">
        <v>24</v>
      </c>
      <c r="C56" s="92" t="str">
        <f>B20</f>
        <v>Betahistine Dihydrochloride BP 16mg</v>
      </c>
      <c r="H56" s="147"/>
    </row>
    <row r="57" spans="1:12" ht="18.75" x14ac:dyDescent="0.3">
      <c r="A57" s="167" t="s">
        <v>88</v>
      </c>
      <c r="B57" s="169">
        <f>Uniformity!C46</f>
        <v>377.75049999999999</v>
      </c>
      <c r="H57" s="147"/>
    </row>
    <row r="58" spans="1:12" ht="19.5" customHeight="1" thickBot="1" x14ac:dyDescent="0.35">
      <c r="H58" s="147"/>
    </row>
    <row r="59" spans="1:12" s="59" customFormat="1" ht="27" customHeight="1" thickBot="1" x14ac:dyDescent="0.45">
      <c r="A59" s="116" t="s">
        <v>89</v>
      </c>
      <c r="B59" s="117">
        <v>100</v>
      </c>
      <c r="C59" s="92"/>
      <c r="D59" s="170" t="s">
        <v>90</v>
      </c>
      <c r="E59" s="171" t="s">
        <v>62</v>
      </c>
      <c r="F59" s="171" t="s">
        <v>63</v>
      </c>
      <c r="G59" s="171" t="s">
        <v>91</v>
      </c>
      <c r="H59" s="120" t="s">
        <v>92</v>
      </c>
      <c r="L59" s="106"/>
    </row>
    <row r="60" spans="1:12" s="59" customFormat="1" ht="26.25" customHeight="1" x14ac:dyDescent="0.4">
      <c r="A60" s="118" t="s">
        <v>93</v>
      </c>
      <c r="B60" s="119">
        <v>1</v>
      </c>
      <c r="C60" s="282" t="s">
        <v>94</v>
      </c>
      <c r="D60" s="285">
        <v>502.8</v>
      </c>
      <c r="E60" s="172">
        <v>1</v>
      </c>
      <c r="F60" s="173">
        <v>81948690</v>
      </c>
      <c r="G60" s="174">
        <f>IF(ISBLANK(F60),"-",(F60/$D$50*$D$47*$B$68)*($B$57/$D$60))</f>
        <v>24.334821577267924</v>
      </c>
      <c r="H60" s="175">
        <f t="shared" ref="H60:H71" si="0">IF(ISBLANK(F60),"-",G60/$B$56)</f>
        <v>1.0139508990528301</v>
      </c>
      <c r="L60" s="106"/>
    </row>
    <row r="61" spans="1:12" s="59" customFormat="1" ht="26.25" customHeight="1" x14ac:dyDescent="0.4">
      <c r="A61" s="118" t="s">
        <v>95</v>
      </c>
      <c r="B61" s="119">
        <v>1</v>
      </c>
      <c r="C61" s="283"/>
      <c r="D61" s="286"/>
      <c r="E61" s="176">
        <v>2</v>
      </c>
      <c r="F61" s="131">
        <v>81990490</v>
      </c>
      <c r="G61" s="177">
        <f>IF(ISBLANK(F61),"-",(F61/$D$50*$D$47*$B$68)*($B$57/$D$60))</f>
        <v>24.347234167901522</v>
      </c>
      <c r="H61" s="178">
        <f t="shared" si="0"/>
        <v>1.01446809032923</v>
      </c>
      <c r="L61" s="106"/>
    </row>
    <row r="62" spans="1:12" s="59" customFormat="1" ht="26.25" customHeight="1" x14ac:dyDescent="0.4">
      <c r="A62" s="118" t="s">
        <v>96</v>
      </c>
      <c r="B62" s="119">
        <v>1</v>
      </c>
      <c r="C62" s="283"/>
      <c r="D62" s="286"/>
      <c r="E62" s="176">
        <v>3</v>
      </c>
      <c r="F62" s="179">
        <v>82044498</v>
      </c>
      <c r="G62" s="177">
        <f>IF(ISBLANK(F62),"-",(F62/$D$50*$D$47*$B$68)*($B$57/$D$60))</f>
        <v>24.363271947684765</v>
      </c>
      <c r="H62" s="178">
        <f t="shared" si="0"/>
        <v>1.015136331153532</v>
      </c>
      <c r="L62" s="106"/>
    </row>
    <row r="63" spans="1:12" ht="27" customHeight="1" thickBot="1" x14ac:dyDescent="0.45">
      <c r="A63" s="118" t="s">
        <v>97</v>
      </c>
      <c r="B63" s="119">
        <v>1</v>
      </c>
      <c r="C63" s="284"/>
      <c r="D63" s="287"/>
      <c r="E63" s="180">
        <v>4</v>
      </c>
      <c r="F63" s="181"/>
      <c r="G63" s="177" t="str">
        <f>IF(ISBLANK(F63),"-",(F63/$D$50*$D$47*$B$68)*($B$57/$D$60))</f>
        <v>-</v>
      </c>
      <c r="H63" s="178" t="str">
        <f t="shared" si="0"/>
        <v>-</v>
      </c>
    </row>
    <row r="64" spans="1:12" ht="26.25" customHeight="1" x14ac:dyDescent="0.4">
      <c r="A64" s="118" t="s">
        <v>98</v>
      </c>
      <c r="B64" s="119">
        <v>1</v>
      </c>
      <c r="C64" s="282" t="s">
        <v>99</v>
      </c>
      <c r="D64" s="285">
        <v>504</v>
      </c>
      <c r="E64" s="172">
        <v>1</v>
      </c>
      <c r="F64" s="173">
        <v>82153521</v>
      </c>
      <c r="G64" s="182">
        <f>IF(ISBLANK(F64),"-",(F64/$D$50*$D$47*$B$68)*($B$57/$D$64))</f>
        <v>24.337561665134629</v>
      </c>
      <c r="H64" s="183">
        <f t="shared" si="0"/>
        <v>1.0140650693806095</v>
      </c>
    </row>
    <row r="65" spans="1:8" ht="26.25" customHeight="1" x14ac:dyDescent="0.4">
      <c r="A65" s="118" t="s">
        <v>100</v>
      </c>
      <c r="B65" s="119">
        <v>1</v>
      </c>
      <c r="C65" s="283"/>
      <c r="D65" s="286"/>
      <c r="E65" s="176">
        <v>2</v>
      </c>
      <c r="F65" s="131">
        <v>82411765</v>
      </c>
      <c r="G65" s="184">
        <f>IF(ISBLANK(F65),"-",(F65/$D$50*$D$47*$B$68)*($B$57/$D$64))</f>
        <v>24.414065133253192</v>
      </c>
      <c r="H65" s="185">
        <f t="shared" si="0"/>
        <v>1.0172527138855496</v>
      </c>
    </row>
    <row r="66" spans="1:8" ht="26.25" customHeight="1" x14ac:dyDescent="0.4">
      <c r="A66" s="118" t="s">
        <v>101</v>
      </c>
      <c r="B66" s="119">
        <v>1</v>
      </c>
      <c r="C66" s="283"/>
      <c r="D66" s="286"/>
      <c r="E66" s="176">
        <v>3</v>
      </c>
      <c r="F66" s="131">
        <v>82290954</v>
      </c>
      <c r="G66" s="184">
        <f>IF(ISBLANK(F66),"-",(F66/$D$50*$D$47*$B$68)*($B$57/$D$64))</f>
        <v>24.378275490563052</v>
      </c>
      <c r="H66" s="185">
        <f t="shared" si="0"/>
        <v>1.0157614787734606</v>
      </c>
    </row>
    <row r="67" spans="1:8" ht="27" customHeight="1" thickBot="1" x14ac:dyDescent="0.45">
      <c r="A67" s="118" t="s">
        <v>102</v>
      </c>
      <c r="B67" s="119">
        <v>1</v>
      </c>
      <c r="C67" s="284"/>
      <c r="D67" s="287"/>
      <c r="E67" s="180">
        <v>4</v>
      </c>
      <c r="F67" s="181"/>
      <c r="G67" s="186" t="str">
        <f>IF(ISBLANK(F67),"-",(F67/$D$50*$D$47*$B$68)*($B$57/$D$64))</f>
        <v>-</v>
      </c>
      <c r="H67" s="187" t="str">
        <f t="shared" si="0"/>
        <v>-</v>
      </c>
    </row>
    <row r="68" spans="1:8" ht="26.25" customHeight="1" x14ac:dyDescent="0.4">
      <c r="A68" s="118" t="s">
        <v>103</v>
      </c>
      <c r="B68" s="188">
        <f>(B67/B66)*(B65/B64)*(B63/B62)*(B61/B60)*B59</f>
        <v>100</v>
      </c>
      <c r="C68" s="282" t="s">
        <v>104</v>
      </c>
      <c r="D68" s="285">
        <v>503.8</v>
      </c>
      <c r="E68" s="172">
        <v>1</v>
      </c>
      <c r="F68" s="173">
        <v>81978312</v>
      </c>
      <c r="G68" s="182">
        <f>IF(ISBLANK(F68),"-",(F68/$D$50*$D$47*$B$68)*($B$57/$D$68))</f>
        <v>24.295297883563602</v>
      </c>
      <c r="H68" s="178">
        <f t="shared" si="0"/>
        <v>1.0123040784818167</v>
      </c>
    </row>
    <row r="69" spans="1:8" ht="27" customHeight="1" thickBot="1" x14ac:dyDescent="0.45">
      <c r="A69" s="163" t="s">
        <v>105</v>
      </c>
      <c r="B69" s="189">
        <f>(D47*B68)/B56*B57</f>
        <v>503.66733333333332</v>
      </c>
      <c r="C69" s="283"/>
      <c r="D69" s="286"/>
      <c r="E69" s="176">
        <v>2</v>
      </c>
      <c r="F69" s="131">
        <v>82020902</v>
      </c>
      <c r="G69" s="184">
        <f>IF(ISBLANK(F69),"-",(F69/$D$50*$D$47*$B$68)*($B$57/$D$68))</f>
        <v>24.30791996264302</v>
      </c>
      <c r="H69" s="178">
        <f t="shared" si="0"/>
        <v>1.0128299984434592</v>
      </c>
    </row>
    <row r="70" spans="1:8" ht="26.25" customHeight="1" x14ac:dyDescent="0.4">
      <c r="A70" s="289" t="s">
        <v>78</v>
      </c>
      <c r="B70" s="290"/>
      <c r="C70" s="283"/>
      <c r="D70" s="286"/>
      <c r="E70" s="176">
        <v>3</v>
      </c>
      <c r="F70" s="131">
        <v>82202822</v>
      </c>
      <c r="G70" s="184">
        <f>IF(ISBLANK(F70),"-",(F70/$D$50*$D$47*$B$68)*($B$57/$D$68))</f>
        <v>24.361834229516163</v>
      </c>
      <c r="H70" s="178">
        <f t="shared" si="0"/>
        <v>1.0150764262298402</v>
      </c>
    </row>
    <row r="71" spans="1:8" ht="27" customHeight="1" thickBot="1" x14ac:dyDescent="0.45">
      <c r="A71" s="291"/>
      <c r="B71" s="292"/>
      <c r="C71" s="288"/>
      <c r="D71" s="287"/>
      <c r="E71" s="180">
        <v>4</v>
      </c>
      <c r="F71" s="181"/>
      <c r="G71" s="186" t="str">
        <f>IF(ISBLANK(F71),"-",(F71/$D$50*$D$47*$B$68)*($B$57/$D$68))</f>
        <v>-</v>
      </c>
      <c r="H71" s="190" t="str">
        <f t="shared" si="0"/>
        <v>-</v>
      </c>
    </row>
    <row r="72" spans="1:8" ht="26.25" customHeight="1" x14ac:dyDescent="0.4">
      <c r="A72" s="147"/>
      <c r="B72" s="147"/>
      <c r="C72" s="147"/>
      <c r="D72" s="147"/>
      <c r="E72" s="147"/>
      <c r="F72" s="191" t="s">
        <v>71</v>
      </c>
      <c r="G72" s="192">
        <f>AVERAGE(G60:G71)</f>
        <v>24.348920228614205</v>
      </c>
      <c r="H72" s="193">
        <f>AVERAGE(H60:H71)</f>
        <v>1.0145383428589252</v>
      </c>
    </row>
    <row r="73" spans="1:8" ht="26.25" customHeight="1" x14ac:dyDescent="0.4">
      <c r="C73" s="147"/>
      <c r="D73" s="147"/>
      <c r="E73" s="147"/>
      <c r="F73" s="194" t="s">
        <v>84</v>
      </c>
      <c r="G73" s="195">
        <f>STDEV(G60:G71)/G72</f>
        <v>1.4783155061390463E-3</v>
      </c>
      <c r="H73" s="195">
        <f>STDEV(H60:H71)/H72</f>
        <v>1.4783155061390545E-3</v>
      </c>
    </row>
    <row r="74" spans="1:8" ht="27" customHeight="1" thickBot="1" x14ac:dyDescent="0.45">
      <c r="A74" s="147"/>
      <c r="B74" s="147"/>
      <c r="C74" s="147"/>
      <c r="D74" s="147"/>
      <c r="E74" s="149"/>
      <c r="F74" s="196" t="s">
        <v>20</v>
      </c>
      <c r="G74" s="197">
        <f>COUNT(G60:G71)</f>
        <v>9</v>
      </c>
      <c r="H74" s="197">
        <f>COUNT(H60:H71)</f>
        <v>9</v>
      </c>
    </row>
    <row r="76" spans="1:8" ht="26.25" customHeight="1" x14ac:dyDescent="0.4">
      <c r="A76" s="102" t="s">
        <v>106</v>
      </c>
      <c r="B76" s="103" t="s">
        <v>107</v>
      </c>
      <c r="C76" s="271" t="str">
        <f>B20</f>
        <v>Betahistine Dihydrochloride BP 16mg</v>
      </c>
      <c r="D76" s="271"/>
      <c r="E76" s="92" t="s">
        <v>108</v>
      </c>
      <c r="F76" s="92"/>
      <c r="G76" s="198">
        <f>H72</f>
        <v>1.0145383428589252</v>
      </c>
      <c r="H76" s="107"/>
    </row>
    <row r="77" spans="1:8" ht="18.75" x14ac:dyDescent="0.3">
      <c r="A77" s="101" t="s">
        <v>109</v>
      </c>
      <c r="B77" s="101" t="s">
        <v>110</v>
      </c>
    </row>
    <row r="78" spans="1:8" ht="18.75" x14ac:dyDescent="0.3">
      <c r="A78" s="101"/>
      <c r="B78" s="101"/>
    </row>
    <row r="79" spans="1:8" ht="26.25" customHeight="1" x14ac:dyDescent="0.4">
      <c r="A79" s="102" t="s">
        <v>4</v>
      </c>
      <c r="B79" s="273" t="str">
        <f>B26</f>
        <v>Betahistine dihydrochloride</v>
      </c>
      <c r="C79" s="273"/>
    </row>
    <row r="80" spans="1:8" ht="26.25" customHeight="1" x14ac:dyDescent="0.4">
      <c r="A80" s="103" t="s">
        <v>48</v>
      </c>
      <c r="B80" s="273" t="str">
        <f>B27</f>
        <v>B17 1</v>
      </c>
      <c r="C80" s="273"/>
    </row>
    <row r="81" spans="1:12" ht="27" customHeight="1" thickBot="1" x14ac:dyDescent="0.45">
      <c r="A81" s="103" t="s">
        <v>6</v>
      </c>
      <c r="B81" s="104">
        <f>B28</f>
        <v>99.4</v>
      </c>
    </row>
    <row r="82" spans="1:12" s="59" customFormat="1" ht="27" customHeight="1" thickBot="1" x14ac:dyDescent="0.45">
      <c r="A82" s="103" t="s">
        <v>49</v>
      </c>
      <c r="B82" s="105">
        <v>0</v>
      </c>
      <c r="C82" s="274" t="s">
        <v>50</v>
      </c>
      <c r="D82" s="275"/>
      <c r="E82" s="275"/>
      <c r="F82" s="275"/>
      <c r="G82" s="276"/>
      <c r="I82" s="106"/>
      <c r="J82" s="106"/>
      <c r="K82" s="106"/>
      <c r="L82" s="106"/>
    </row>
    <row r="83" spans="1:12" s="59" customFormat="1" ht="19.5" customHeight="1" thickBot="1" x14ac:dyDescent="0.35">
      <c r="A83" s="103" t="s">
        <v>51</v>
      </c>
      <c r="B83" s="107">
        <f>B81-B82</f>
        <v>99.4</v>
      </c>
      <c r="C83" s="108"/>
      <c r="D83" s="108"/>
      <c r="E83" s="108"/>
      <c r="F83" s="108"/>
      <c r="G83" s="109"/>
      <c r="I83" s="106"/>
      <c r="J83" s="106"/>
      <c r="K83" s="106"/>
      <c r="L83" s="106"/>
    </row>
    <row r="84" spans="1:12" s="59" customFormat="1" ht="27" customHeight="1" thickBot="1" x14ac:dyDescent="0.45">
      <c r="A84" s="103" t="s">
        <v>52</v>
      </c>
      <c r="B84" s="110">
        <v>1</v>
      </c>
      <c r="C84" s="277" t="s">
        <v>111</v>
      </c>
      <c r="D84" s="278"/>
      <c r="E84" s="278"/>
      <c r="F84" s="278"/>
      <c r="G84" s="278"/>
      <c r="H84" s="279"/>
      <c r="I84" s="106"/>
      <c r="J84" s="106"/>
      <c r="K84" s="106"/>
      <c r="L84" s="106"/>
    </row>
    <row r="85" spans="1:12" s="59" customFormat="1" ht="27" customHeight="1" thickBot="1" x14ac:dyDescent="0.45">
      <c r="A85" s="103" t="s">
        <v>54</v>
      </c>
      <c r="B85" s="110">
        <v>1</v>
      </c>
      <c r="C85" s="277" t="s">
        <v>112</v>
      </c>
      <c r="D85" s="278"/>
      <c r="E85" s="278"/>
      <c r="F85" s="278"/>
      <c r="G85" s="278"/>
      <c r="H85" s="279"/>
      <c r="I85" s="106"/>
      <c r="J85" s="106"/>
      <c r="K85" s="106"/>
      <c r="L85" s="106"/>
    </row>
    <row r="86" spans="1:12" s="59" customFormat="1" ht="18.75" x14ac:dyDescent="0.3">
      <c r="A86" s="103"/>
      <c r="B86" s="113"/>
      <c r="C86" s="114"/>
      <c r="D86" s="114"/>
      <c r="E86" s="114"/>
      <c r="F86" s="114"/>
      <c r="G86" s="114"/>
      <c r="H86" s="114"/>
      <c r="I86" s="106"/>
      <c r="J86" s="106"/>
      <c r="K86" s="106"/>
      <c r="L86" s="106"/>
    </row>
    <row r="87" spans="1:12" s="59" customFormat="1" ht="18.75" x14ac:dyDescent="0.3">
      <c r="A87" s="103" t="s">
        <v>56</v>
      </c>
      <c r="B87" s="115">
        <f>B84/B85</f>
        <v>1</v>
      </c>
      <c r="C87" s="92" t="s">
        <v>57</v>
      </c>
      <c r="D87" s="92"/>
      <c r="E87" s="92"/>
      <c r="F87" s="92"/>
      <c r="G87" s="92"/>
      <c r="I87" s="106"/>
      <c r="J87" s="106"/>
      <c r="K87" s="106"/>
      <c r="L87" s="106"/>
    </row>
    <row r="88" spans="1:12" ht="19.5" customHeight="1" thickBot="1" x14ac:dyDescent="0.35">
      <c r="A88" s="101"/>
      <c r="B88" s="101"/>
    </row>
    <row r="89" spans="1:12" ht="27" customHeight="1" thickBot="1" x14ac:dyDescent="0.45">
      <c r="A89" s="116" t="s">
        <v>58</v>
      </c>
      <c r="B89" s="117">
        <v>25</v>
      </c>
      <c r="D89" s="199" t="s">
        <v>59</v>
      </c>
      <c r="E89" s="200"/>
      <c r="F89" s="280" t="s">
        <v>60</v>
      </c>
      <c r="G89" s="281"/>
    </row>
    <row r="90" spans="1:12" ht="27" customHeight="1" thickBot="1" x14ac:dyDescent="0.45">
      <c r="A90" s="118" t="s">
        <v>61</v>
      </c>
      <c r="B90" s="119">
        <v>10</v>
      </c>
      <c r="C90" s="201" t="s">
        <v>62</v>
      </c>
      <c r="D90" s="121" t="s">
        <v>63</v>
      </c>
      <c r="E90" s="122" t="s">
        <v>64</v>
      </c>
      <c r="F90" s="121" t="s">
        <v>63</v>
      </c>
      <c r="G90" s="202" t="s">
        <v>64</v>
      </c>
      <c r="I90" s="124" t="s">
        <v>65</v>
      </c>
    </row>
    <row r="91" spans="1:12" ht="26.25" customHeight="1" x14ac:dyDescent="0.4">
      <c r="A91" s="118" t="s">
        <v>66</v>
      </c>
      <c r="B91" s="119">
        <v>25</v>
      </c>
      <c r="C91" s="203">
        <v>1</v>
      </c>
      <c r="D91" s="126">
        <v>3983286</v>
      </c>
      <c r="E91" s="127">
        <f>IF(ISBLANK(D91),"-",$D$101/$D$98*D91)</f>
        <v>6391275.8849749221</v>
      </c>
      <c r="F91" s="126">
        <v>4546312</v>
      </c>
      <c r="G91" s="128">
        <f>IF(ISBLANK(F91),"-",$D$101/$F$98*F91)</f>
        <v>6515319.8392635025</v>
      </c>
      <c r="I91" s="129"/>
    </row>
    <row r="92" spans="1:12" ht="26.25" customHeight="1" x14ac:dyDescent="0.4">
      <c r="A92" s="118" t="s">
        <v>67</v>
      </c>
      <c r="B92" s="119">
        <v>5</v>
      </c>
      <c r="C92" s="147">
        <v>2</v>
      </c>
      <c r="D92" s="131">
        <v>3981797</v>
      </c>
      <c r="E92" s="132">
        <f>IF(ISBLANK(D92),"-",$D$101/$D$98*D92)</f>
        <v>6388886.749524259</v>
      </c>
      <c r="F92" s="131">
        <v>4545107</v>
      </c>
      <c r="G92" s="133">
        <f>IF(ISBLANK(F92),"-",$D$101/$F$98*F92)</f>
        <v>6513592.9537338</v>
      </c>
      <c r="I92" s="264">
        <f>ABS((F96/D96*D95)-F95)/D95</f>
        <v>2.1099603896799449E-2</v>
      </c>
    </row>
    <row r="93" spans="1:12" ht="26.25" customHeight="1" x14ac:dyDescent="0.4">
      <c r="A93" s="118" t="s">
        <v>68</v>
      </c>
      <c r="B93" s="119">
        <v>100</v>
      </c>
      <c r="C93" s="147">
        <v>3</v>
      </c>
      <c r="D93" s="131">
        <v>3977490</v>
      </c>
      <c r="E93" s="132">
        <f>IF(ISBLANK(D93),"-",$D$101/$D$98*D93)</f>
        <v>6381976.0669278838</v>
      </c>
      <c r="F93" s="131">
        <v>4531675</v>
      </c>
      <c r="G93" s="133">
        <f>IF(ISBLANK(F93),"-",$D$101/$F$98*F93)</f>
        <v>6494343.5542027103</v>
      </c>
      <c r="I93" s="264"/>
    </row>
    <row r="94" spans="1:12" ht="27" customHeight="1" thickBot="1" x14ac:dyDescent="0.45">
      <c r="A94" s="118" t="s">
        <v>69</v>
      </c>
      <c r="B94" s="119">
        <v>1</v>
      </c>
      <c r="C94" s="204">
        <v>4</v>
      </c>
      <c r="D94" s="135"/>
      <c r="E94" s="136"/>
      <c r="F94" s="205"/>
      <c r="G94" s="137" t="str">
        <f>IF(ISBLANK(F94),"-",$D$101/$F$98*F94)</f>
        <v>-</v>
      </c>
      <c r="I94" s="138"/>
    </row>
    <row r="95" spans="1:12" ht="27" customHeight="1" thickBot="1" x14ac:dyDescent="0.45">
      <c r="A95" s="118" t="s">
        <v>70</v>
      </c>
      <c r="B95" s="119">
        <v>1</v>
      </c>
      <c r="C95" s="103" t="s">
        <v>71</v>
      </c>
      <c r="D95" s="206">
        <f>AVERAGE(D91:D94)</f>
        <v>3980857.6666666665</v>
      </c>
      <c r="E95" s="141">
        <f>AVERAGE(E91:E94)</f>
        <v>6387379.5671423553</v>
      </c>
      <c r="F95" s="207">
        <f>AVERAGE(F91:F94)</f>
        <v>4541031.333333333</v>
      </c>
      <c r="G95" s="208">
        <f>AVERAGE(G91:G94)</f>
        <v>6507752.1157333376</v>
      </c>
    </row>
    <row r="96" spans="1:12" ht="26.25" customHeight="1" x14ac:dyDescent="0.4">
      <c r="A96" s="118" t="s">
        <v>72</v>
      </c>
      <c r="B96" s="104">
        <v>1</v>
      </c>
      <c r="C96" s="209" t="s">
        <v>113</v>
      </c>
      <c r="D96" s="210">
        <v>20.9</v>
      </c>
      <c r="E96" s="92"/>
      <c r="F96" s="144">
        <v>23.4</v>
      </c>
    </row>
    <row r="97" spans="1:10" ht="26.25" customHeight="1" x14ac:dyDescent="0.4">
      <c r="A97" s="118" t="s">
        <v>74</v>
      </c>
      <c r="B97" s="104">
        <v>1</v>
      </c>
      <c r="C97" s="211" t="s">
        <v>114</v>
      </c>
      <c r="D97" s="212">
        <f>D96*$B$87</f>
        <v>20.9</v>
      </c>
      <c r="E97" s="147"/>
      <c r="F97" s="146">
        <f>F96*$B$87</f>
        <v>23.4</v>
      </c>
    </row>
    <row r="98" spans="1:10" ht="19.5" customHeight="1" thickBot="1" x14ac:dyDescent="0.35">
      <c r="A98" s="118" t="s">
        <v>76</v>
      </c>
      <c r="B98" s="147">
        <f>(B97/B96)*(B95/B94)*(B93/B92)*(B91/B90)*B89</f>
        <v>1250</v>
      </c>
      <c r="C98" s="211" t="s">
        <v>115</v>
      </c>
      <c r="D98" s="213">
        <f>D97*$B$83/100</f>
        <v>20.7746</v>
      </c>
      <c r="E98" s="149"/>
      <c r="F98" s="148">
        <f>F97*$B$83/100</f>
        <v>23.259599999999999</v>
      </c>
    </row>
    <row r="99" spans="1:10" ht="19.5" customHeight="1" thickBot="1" x14ac:dyDescent="0.35">
      <c r="A99" s="265" t="s">
        <v>78</v>
      </c>
      <c r="B99" s="266"/>
      <c r="C99" s="211" t="s">
        <v>116</v>
      </c>
      <c r="D99" s="214">
        <f>D98/$B$98</f>
        <v>1.6619680000000001E-2</v>
      </c>
      <c r="E99" s="149"/>
      <c r="F99" s="152">
        <f>F98/$B$98</f>
        <v>1.8607679999999998E-2</v>
      </c>
      <c r="H99" s="83"/>
    </row>
    <row r="100" spans="1:10" ht="19.5" customHeight="1" thickBot="1" x14ac:dyDescent="0.35">
      <c r="A100" s="267"/>
      <c r="B100" s="268"/>
      <c r="C100" s="211" t="s">
        <v>80</v>
      </c>
      <c r="D100" s="215">
        <f>$B$56/$B$116</f>
        <v>2.6666666666666668E-2</v>
      </c>
      <c r="F100" s="157"/>
      <c r="G100" s="216"/>
      <c r="H100" s="83"/>
    </row>
    <row r="101" spans="1:10" ht="18.75" x14ac:dyDescent="0.3">
      <c r="C101" s="211" t="s">
        <v>81</v>
      </c>
      <c r="D101" s="212">
        <f>D100*$B$98</f>
        <v>33.333333333333336</v>
      </c>
      <c r="F101" s="157"/>
      <c r="H101" s="83"/>
    </row>
    <row r="102" spans="1:10" ht="19.5" customHeight="1" thickBot="1" x14ac:dyDescent="0.35">
      <c r="C102" s="217" t="s">
        <v>82</v>
      </c>
      <c r="D102" s="218">
        <f>D101/B34</f>
        <v>33.333333333333336</v>
      </c>
      <c r="F102" s="161"/>
      <c r="H102" s="83"/>
      <c r="J102" s="219"/>
    </row>
    <row r="103" spans="1:10" ht="18.75" x14ac:dyDescent="0.3">
      <c r="C103" s="220" t="s">
        <v>117</v>
      </c>
      <c r="D103" s="221">
        <f>AVERAGE(E91:E94,G91:G94)</f>
        <v>6447565.8414378464</v>
      </c>
      <c r="F103" s="161"/>
      <c r="G103" s="216"/>
      <c r="H103" s="83"/>
      <c r="J103" s="222"/>
    </row>
    <row r="104" spans="1:10" ht="18.75" x14ac:dyDescent="0.3">
      <c r="C104" s="194" t="s">
        <v>84</v>
      </c>
      <c r="D104" s="223">
        <f>STDEV(E91:E94,G91:G94)/D103</f>
        <v>1.03001772458597E-2</v>
      </c>
      <c r="F104" s="161"/>
      <c r="H104" s="83"/>
      <c r="J104" s="222"/>
    </row>
    <row r="105" spans="1:10" ht="19.5" customHeight="1" thickBot="1" x14ac:dyDescent="0.35">
      <c r="C105" s="196" t="s">
        <v>20</v>
      </c>
      <c r="D105" s="224">
        <f>COUNT(E91:E94,G91:G94)</f>
        <v>6</v>
      </c>
      <c r="F105" s="161"/>
      <c r="H105" s="83"/>
      <c r="J105" s="222"/>
    </row>
    <row r="106" spans="1:10" ht="19.5" customHeight="1" thickBot="1" x14ac:dyDescent="0.35">
      <c r="A106" s="165"/>
      <c r="B106" s="165"/>
      <c r="C106" s="165"/>
      <c r="D106" s="165"/>
      <c r="E106" s="165"/>
    </row>
    <row r="107" spans="1:10" ht="26.25" customHeight="1" x14ac:dyDescent="0.4">
      <c r="A107" s="116" t="s">
        <v>118</v>
      </c>
      <c r="B107" s="117">
        <v>900</v>
      </c>
      <c r="C107" s="199" t="s">
        <v>119</v>
      </c>
      <c r="D107" s="225" t="s">
        <v>63</v>
      </c>
      <c r="E107" s="226" t="s">
        <v>120</v>
      </c>
      <c r="F107" s="227" t="s">
        <v>121</v>
      </c>
    </row>
    <row r="108" spans="1:10" ht="26.25" customHeight="1" x14ac:dyDescent="0.4">
      <c r="A108" s="118" t="s">
        <v>122</v>
      </c>
      <c r="B108" s="119">
        <v>1</v>
      </c>
      <c r="C108" s="228">
        <v>1</v>
      </c>
      <c r="D108" s="229">
        <v>6392542</v>
      </c>
      <c r="E108" s="230">
        <f t="shared" ref="E108:E113" si="1">IF(ISBLANK(D108),"-",D108/$D$103*$D$100*$B$116)</f>
        <v>23.795182829150637</v>
      </c>
      <c r="F108" s="231">
        <f t="shared" ref="F108:F113" si="2">IF(ISBLANK(D108), "-", E108/$B$56)</f>
        <v>0.9914659512146099</v>
      </c>
    </row>
    <row r="109" spans="1:10" ht="26.25" customHeight="1" x14ac:dyDescent="0.4">
      <c r="A109" s="118" t="s">
        <v>95</v>
      </c>
      <c r="B109" s="119">
        <v>1</v>
      </c>
      <c r="C109" s="228">
        <v>2</v>
      </c>
      <c r="D109" s="229">
        <v>6689193</v>
      </c>
      <c r="E109" s="232">
        <f t="shared" si="1"/>
        <v>24.899417229401799</v>
      </c>
      <c r="F109" s="233">
        <f t="shared" si="2"/>
        <v>1.0374757178917415</v>
      </c>
    </row>
    <row r="110" spans="1:10" ht="26.25" customHeight="1" x14ac:dyDescent="0.4">
      <c r="A110" s="118" t="s">
        <v>96</v>
      </c>
      <c r="B110" s="119">
        <v>1</v>
      </c>
      <c r="C110" s="228">
        <v>3</v>
      </c>
      <c r="D110" s="229">
        <v>6410983</v>
      </c>
      <c r="E110" s="232">
        <f t="shared" si="1"/>
        <v>23.863826408895964</v>
      </c>
      <c r="F110" s="233">
        <f t="shared" si="2"/>
        <v>0.99432610037066516</v>
      </c>
    </row>
    <row r="111" spans="1:10" ht="26.25" customHeight="1" x14ac:dyDescent="0.4">
      <c r="A111" s="118" t="s">
        <v>97</v>
      </c>
      <c r="B111" s="119">
        <v>1</v>
      </c>
      <c r="C111" s="228">
        <v>4</v>
      </c>
      <c r="D111" s="229">
        <v>6680052</v>
      </c>
      <c r="E111" s="232">
        <f t="shared" si="1"/>
        <v>24.865391365161678</v>
      </c>
      <c r="F111" s="233">
        <f t="shared" si="2"/>
        <v>1.0360579735484032</v>
      </c>
    </row>
    <row r="112" spans="1:10" ht="26.25" customHeight="1" x14ac:dyDescent="0.4">
      <c r="A112" s="118" t="s">
        <v>98</v>
      </c>
      <c r="B112" s="119">
        <v>1</v>
      </c>
      <c r="C112" s="228">
        <v>5</v>
      </c>
      <c r="D112" s="229">
        <v>6667441</v>
      </c>
      <c r="E112" s="232">
        <f t="shared" si="1"/>
        <v>24.818448998469616</v>
      </c>
      <c r="F112" s="233">
        <f t="shared" si="2"/>
        <v>1.0341020416029008</v>
      </c>
    </row>
    <row r="113" spans="1:10" ht="26.25" customHeight="1" x14ac:dyDescent="0.4">
      <c r="A113" s="118" t="s">
        <v>100</v>
      </c>
      <c r="B113" s="119">
        <v>1</v>
      </c>
      <c r="C113" s="234">
        <v>6</v>
      </c>
      <c r="D113" s="235">
        <v>6627248</v>
      </c>
      <c r="E113" s="236">
        <f t="shared" si="1"/>
        <v>24.6688371877921</v>
      </c>
      <c r="F113" s="237">
        <f t="shared" si="2"/>
        <v>1.0278682161580042</v>
      </c>
    </row>
    <row r="114" spans="1:10" ht="26.25" customHeight="1" x14ac:dyDescent="0.4">
      <c r="A114" s="118" t="s">
        <v>101</v>
      </c>
      <c r="B114" s="119">
        <v>1</v>
      </c>
      <c r="C114" s="228"/>
      <c r="D114" s="147"/>
      <c r="E114" s="92"/>
      <c r="F114" s="238"/>
    </row>
    <row r="115" spans="1:10" ht="26.25" customHeight="1" x14ac:dyDescent="0.4">
      <c r="A115" s="118" t="s">
        <v>102</v>
      </c>
      <c r="B115" s="119">
        <v>1</v>
      </c>
      <c r="C115" s="228"/>
      <c r="D115" s="239" t="s">
        <v>71</v>
      </c>
      <c r="E115" s="240">
        <f>AVERAGE(E108:E113)</f>
        <v>24.485184003145296</v>
      </c>
      <c r="F115" s="241">
        <f>AVERAGE(F108:F113)</f>
        <v>1.0202160001310541</v>
      </c>
    </row>
    <row r="116" spans="1:10" ht="27" customHeight="1" thickBot="1" x14ac:dyDescent="0.45">
      <c r="A116" s="118" t="s">
        <v>103</v>
      </c>
      <c r="B116" s="130">
        <f>(B115/B114)*(B113/B112)*(B111/B110)*(B109/B108)*B107</f>
        <v>900</v>
      </c>
      <c r="C116" s="242"/>
      <c r="D116" s="103" t="s">
        <v>84</v>
      </c>
      <c r="E116" s="243">
        <f>STDEV(E108:E113)/E115</f>
        <v>2.1009344964176276E-2</v>
      </c>
      <c r="F116" s="243">
        <f>STDEV(F108:F113)/F115</f>
        <v>2.1009344964176262E-2</v>
      </c>
      <c r="I116" s="92"/>
    </row>
    <row r="117" spans="1:10" ht="27" customHeight="1" thickBot="1" x14ac:dyDescent="0.45">
      <c r="A117" s="265" t="s">
        <v>78</v>
      </c>
      <c r="B117" s="269"/>
      <c r="C117" s="244"/>
      <c r="D117" s="245" t="s">
        <v>20</v>
      </c>
      <c r="E117" s="246">
        <f>COUNT(E108:E113)</f>
        <v>6</v>
      </c>
      <c r="F117" s="246">
        <f>COUNT(F108:F113)</f>
        <v>6</v>
      </c>
      <c r="I117" s="92"/>
      <c r="J117" s="222"/>
    </row>
    <row r="118" spans="1:10" ht="19.5" customHeight="1" thickBot="1" x14ac:dyDescent="0.35">
      <c r="A118" s="267"/>
      <c r="B118" s="270"/>
      <c r="C118" s="92"/>
      <c r="D118" s="92"/>
      <c r="E118" s="92"/>
      <c r="F118" s="147"/>
      <c r="G118" s="92"/>
      <c r="H118" s="92"/>
      <c r="I118" s="92"/>
    </row>
    <row r="119" spans="1:10" ht="18.75" x14ac:dyDescent="0.3">
      <c r="A119" s="247"/>
      <c r="B119" s="114"/>
      <c r="C119" s="92"/>
      <c r="D119" s="92"/>
      <c r="E119" s="92"/>
      <c r="F119" s="147"/>
      <c r="G119" s="92"/>
      <c r="H119" s="92"/>
      <c r="I119" s="92"/>
    </row>
    <row r="120" spans="1:10" ht="26.25" customHeight="1" x14ac:dyDescent="0.4">
      <c r="A120" s="102" t="s">
        <v>106</v>
      </c>
      <c r="B120" s="103" t="s">
        <v>123</v>
      </c>
      <c r="C120" s="271" t="str">
        <f>B20</f>
        <v>Betahistine Dihydrochloride BP 16mg</v>
      </c>
      <c r="D120" s="271"/>
      <c r="E120" s="92" t="s">
        <v>124</v>
      </c>
      <c r="F120" s="92"/>
      <c r="G120" s="198">
        <f>F115</f>
        <v>1.0202160001310541</v>
      </c>
      <c r="H120" s="92"/>
      <c r="I120" s="92"/>
    </row>
    <row r="121" spans="1:10" ht="19.5" customHeight="1" thickBot="1" x14ac:dyDescent="0.35">
      <c r="A121" s="248"/>
      <c r="B121" s="248"/>
      <c r="C121" s="249"/>
      <c r="D121" s="249"/>
      <c r="E121" s="249"/>
      <c r="F121" s="249"/>
      <c r="G121" s="249"/>
      <c r="H121" s="249"/>
    </row>
    <row r="122" spans="1:10" ht="18.75" x14ac:dyDescent="0.3">
      <c r="B122" s="272" t="s">
        <v>26</v>
      </c>
      <c r="C122" s="272"/>
      <c r="E122" s="201" t="s">
        <v>27</v>
      </c>
      <c r="F122" s="250"/>
      <c r="G122" s="272" t="s">
        <v>28</v>
      </c>
      <c r="H122" s="272"/>
    </row>
    <row r="123" spans="1:10" ht="69.95" customHeight="1" x14ac:dyDescent="0.3">
      <c r="A123" s="102" t="s">
        <v>29</v>
      </c>
      <c r="B123" s="251"/>
      <c r="C123" s="251"/>
      <c r="E123" s="251"/>
      <c r="F123" s="92"/>
      <c r="G123" s="251"/>
      <c r="H123" s="251"/>
    </row>
    <row r="124" spans="1:10" ht="69.95" customHeight="1" x14ac:dyDescent="0.3">
      <c r="A124" s="102" t="s">
        <v>30</v>
      </c>
      <c r="B124" s="252"/>
      <c r="C124" s="24" t="s">
        <v>133</v>
      </c>
      <c r="D124" s="25"/>
      <c r="E124" s="303">
        <v>42411</v>
      </c>
      <c r="F124" s="92"/>
      <c r="G124" s="253"/>
      <c r="H124" s="253"/>
    </row>
    <row r="125" spans="1:10" ht="18.75" x14ac:dyDescent="0.3">
      <c r="A125" s="147"/>
      <c r="B125" s="147"/>
      <c r="C125" s="147"/>
      <c r="D125" s="147"/>
      <c r="E125" s="147"/>
      <c r="F125" s="149"/>
      <c r="G125" s="147"/>
      <c r="H125" s="147"/>
      <c r="I125" s="92"/>
    </row>
    <row r="126" spans="1:10" ht="18.75" x14ac:dyDescent="0.3">
      <c r="A126" s="147"/>
      <c r="B126" s="147"/>
      <c r="C126" s="147"/>
      <c r="D126" s="147"/>
      <c r="E126" s="147"/>
      <c r="F126" s="149"/>
      <c r="G126" s="147"/>
      <c r="H126" s="147"/>
      <c r="I126" s="92"/>
    </row>
    <row r="127" spans="1:10" ht="18.75" x14ac:dyDescent="0.3">
      <c r="A127" s="147"/>
      <c r="B127" s="147"/>
      <c r="C127" s="147"/>
      <c r="D127" s="147"/>
      <c r="E127" s="147"/>
      <c r="F127" s="149"/>
      <c r="G127" s="147"/>
      <c r="H127" s="147"/>
      <c r="I127" s="92"/>
    </row>
    <row r="128" spans="1:10" ht="18.75" x14ac:dyDescent="0.3">
      <c r="A128" s="147"/>
      <c r="B128" s="147"/>
      <c r="C128" s="147"/>
      <c r="D128" s="147"/>
      <c r="E128" s="147"/>
      <c r="F128" s="149"/>
      <c r="G128" s="147"/>
      <c r="H128" s="147"/>
      <c r="I128" s="92"/>
    </row>
    <row r="129" spans="1:9" ht="18.75" x14ac:dyDescent="0.3">
      <c r="A129" s="147"/>
      <c r="B129" s="147"/>
      <c r="C129" s="147"/>
      <c r="D129" s="147"/>
      <c r="E129" s="147"/>
      <c r="F129" s="149"/>
      <c r="G129" s="147"/>
      <c r="H129" s="147"/>
      <c r="I129" s="92"/>
    </row>
    <row r="130" spans="1:9" ht="18.75" x14ac:dyDescent="0.3">
      <c r="A130" s="147"/>
      <c r="B130" s="147"/>
      <c r="C130" s="147"/>
      <c r="D130" s="147"/>
      <c r="E130" s="147"/>
      <c r="F130" s="149"/>
      <c r="G130" s="147"/>
      <c r="H130" s="147"/>
      <c r="I130" s="92"/>
    </row>
    <row r="131" spans="1:9" ht="18.75" x14ac:dyDescent="0.3">
      <c r="A131" s="147"/>
      <c r="B131" s="147"/>
      <c r="C131" s="147"/>
      <c r="D131" s="147"/>
      <c r="E131" s="147"/>
      <c r="F131" s="149"/>
      <c r="G131" s="147"/>
      <c r="H131" s="147"/>
      <c r="I131" s="92"/>
    </row>
    <row r="132" spans="1:9" ht="18.75" x14ac:dyDescent="0.3">
      <c r="A132" s="147"/>
      <c r="B132" s="147"/>
      <c r="C132" s="147"/>
      <c r="D132" s="147"/>
      <c r="E132" s="147"/>
      <c r="F132" s="149"/>
      <c r="G132" s="147"/>
      <c r="H132" s="147"/>
      <c r="I132" s="92"/>
    </row>
    <row r="133" spans="1:9" ht="18.75" x14ac:dyDescent="0.3">
      <c r="A133" s="147"/>
      <c r="B133" s="147"/>
      <c r="C133" s="147"/>
      <c r="D133" s="147"/>
      <c r="E133" s="147"/>
      <c r="F133" s="149"/>
      <c r="G133" s="147"/>
      <c r="H133" s="147"/>
      <c r="I133" s="92"/>
    </row>
    <row r="250" spans="1:1" x14ac:dyDescent="0.25">
      <c r="A250" s="49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A70:B71"/>
    <mergeCell ref="C76:D76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BETAHISTINE DIHYDROCHLORIDE 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dcterms:created xsi:type="dcterms:W3CDTF">2005-07-05T10:19:27Z</dcterms:created>
  <dcterms:modified xsi:type="dcterms:W3CDTF">2016-02-11T08:55:52Z</dcterms:modified>
</cp:coreProperties>
</file>