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85" windowWidth="9255" windowHeight="7110" activeTab="6"/>
  </bookViews>
  <sheets>
    <sheet name="SST (EM)" sheetId="13" r:id="rId1"/>
    <sheet name="SST (TDF)" sheetId="14" r:id="rId2"/>
    <sheet name="SST (EFV)" sheetId="15" r:id="rId3"/>
    <sheet name="Uniformity" sheetId="2" r:id="rId4"/>
    <sheet name="EMCITRABINE" sheetId="4" r:id="rId5"/>
    <sheet name="TENOFOVIR DISOPROXIL FUMERATE" sheetId="5" r:id="rId6"/>
    <sheet name="EFAVIRENZ" sheetId="3" r:id="rId7"/>
  </sheets>
  <externalReferences>
    <externalReference r:id="rId8"/>
  </externalReference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F95" i="5" l="1"/>
  <c r="D95" i="5"/>
  <c r="G94" i="5"/>
  <c r="E94" i="5"/>
  <c r="B20" i="14"/>
  <c r="B21" i="14" s="1"/>
  <c r="B19" i="14"/>
  <c r="B40" i="14" s="1"/>
  <c r="D64" i="5"/>
  <c r="D68" i="5"/>
  <c r="D60" i="5"/>
  <c r="F95" i="3"/>
  <c r="D95" i="3"/>
  <c r="G94" i="3"/>
  <c r="E94" i="3"/>
  <c r="B21" i="15"/>
  <c r="B20" i="15"/>
  <c r="D64" i="3"/>
  <c r="D68" i="3"/>
  <c r="D60" i="3"/>
  <c r="B45" i="4"/>
  <c r="B21" i="13"/>
  <c r="F95" i="4"/>
  <c r="D95" i="4"/>
  <c r="G94" i="4"/>
  <c r="E94" i="4"/>
  <c r="B20" i="13"/>
  <c r="B53" i="15"/>
  <c r="B52" i="15"/>
  <c r="F51" i="15"/>
  <c r="E51" i="15"/>
  <c r="D51" i="15"/>
  <c r="C51" i="15"/>
  <c r="B51" i="15"/>
  <c r="B40" i="15"/>
  <c r="B32" i="15"/>
  <c r="F30" i="15"/>
  <c r="E30" i="15"/>
  <c r="D30" i="15"/>
  <c r="C30" i="15"/>
  <c r="B30" i="15"/>
  <c r="B31" i="15" s="1"/>
  <c r="B18" i="15"/>
  <c r="B39" i="15" s="1"/>
  <c r="B17" i="15"/>
  <c r="B53" i="14"/>
  <c r="F51" i="14"/>
  <c r="E51" i="14"/>
  <c r="D51" i="14"/>
  <c r="C51" i="14"/>
  <c r="B51" i="14"/>
  <c r="B52" i="14" s="1"/>
  <c r="B32" i="14"/>
  <c r="F30" i="14"/>
  <c r="E30" i="14"/>
  <c r="D30" i="14"/>
  <c r="C30" i="14"/>
  <c r="B30" i="14"/>
  <c r="B31" i="14" s="1"/>
  <c r="B18" i="14"/>
  <c r="B39" i="14" s="1"/>
  <c r="B17" i="14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18" i="13"/>
  <c r="B39" i="13" s="1"/>
  <c r="B17" i="13"/>
  <c r="C120" i="5" l="1"/>
  <c r="B116" i="5"/>
  <c r="D100" i="5"/>
  <c r="D101" i="5" s="1"/>
  <c r="B98" i="5"/>
  <c r="I92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0" i="4"/>
  <c r="B116" i="4"/>
  <c r="D100" i="4" s="1"/>
  <c r="B98" i="4"/>
  <c r="I92" i="4"/>
  <c r="B87" i="4"/>
  <c r="F97" i="4" s="1"/>
  <c r="B81" i="4"/>
  <c r="B83" i="4" s="1"/>
  <c r="B80" i="4"/>
  <c r="B79" i="4"/>
  <c r="C76" i="4"/>
  <c r="B68" i="4"/>
  <c r="C56" i="4"/>
  <c r="B55" i="4"/>
  <c r="D48" i="4"/>
  <c r="F42" i="4"/>
  <c r="D42" i="4"/>
  <c r="B34" i="4"/>
  <c r="F44" i="4" s="1"/>
  <c r="B30" i="4"/>
  <c r="C120" i="3"/>
  <c r="B116" i="3"/>
  <c r="D100" i="3"/>
  <c r="D101" i="3" s="1"/>
  <c r="B98" i="3"/>
  <c r="I92" i="3"/>
  <c r="B87" i="3"/>
  <c r="F97" i="3" s="1"/>
  <c r="F98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F44" i="3" s="1"/>
  <c r="B30" i="3"/>
  <c r="D49" i="2"/>
  <c r="C46" i="2"/>
  <c r="C45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G93" i="5" l="1"/>
  <c r="G92" i="5"/>
  <c r="D97" i="5"/>
  <c r="I39" i="5"/>
  <c r="F45" i="5"/>
  <c r="D97" i="3"/>
  <c r="G92" i="3"/>
  <c r="G93" i="3"/>
  <c r="G91" i="3"/>
  <c r="B69" i="3"/>
  <c r="I39" i="3"/>
  <c r="F45" i="3"/>
  <c r="F46" i="3" s="1"/>
  <c r="D98" i="3"/>
  <c r="E93" i="3" s="1"/>
  <c r="D97" i="4"/>
  <c r="I39" i="4"/>
  <c r="D101" i="4"/>
  <c r="D102" i="4" s="1"/>
  <c r="F45" i="4"/>
  <c r="F98" i="4"/>
  <c r="F99" i="4" s="1"/>
  <c r="G40" i="3"/>
  <c r="G39" i="3"/>
  <c r="D49" i="3"/>
  <c r="G38" i="3"/>
  <c r="G41" i="3"/>
  <c r="F99" i="3"/>
  <c r="B57" i="5"/>
  <c r="B69" i="5" s="1"/>
  <c r="B57" i="4"/>
  <c r="B69" i="4" s="1"/>
  <c r="C50" i="2"/>
  <c r="D98" i="4"/>
  <c r="G40" i="5"/>
  <c r="F98" i="5"/>
  <c r="G91" i="5" s="1"/>
  <c r="G95" i="5" s="1"/>
  <c r="G41" i="5"/>
  <c r="F46" i="5"/>
  <c r="D26" i="2"/>
  <c r="D30" i="2"/>
  <c r="D34" i="2"/>
  <c r="D38" i="2"/>
  <c r="D42" i="2"/>
  <c r="B49" i="2"/>
  <c r="D50" i="2"/>
  <c r="D44" i="3"/>
  <c r="D45" i="3" s="1"/>
  <c r="D46" i="3" s="1"/>
  <c r="G40" i="4"/>
  <c r="G41" i="4"/>
  <c r="F46" i="4"/>
  <c r="D43" i="2"/>
  <c r="C49" i="2"/>
  <c r="D102" i="3"/>
  <c r="D98" i="5"/>
  <c r="E92" i="5" s="1"/>
  <c r="G39" i="4"/>
  <c r="G39" i="5"/>
  <c r="G38" i="4"/>
  <c r="D44" i="4"/>
  <c r="D45" i="4" s="1"/>
  <c r="E40" i="4" s="1"/>
  <c r="D49" i="4"/>
  <c r="G38" i="5"/>
  <c r="D44" i="5"/>
  <c r="D45" i="5" s="1"/>
  <c r="D49" i="5"/>
  <c r="D102" i="5"/>
  <c r="E91" i="5" l="1"/>
  <c r="E93" i="5"/>
  <c r="D105" i="5" s="1"/>
  <c r="G42" i="5"/>
  <c r="G95" i="3"/>
  <c r="E91" i="3"/>
  <c r="E92" i="3"/>
  <c r="D103" i="3" s="1"/>
  <c r="G42" i="3"/>
  <c r="E41" i="3"/>
  <c r="E38" i="3"/>
  <c r="D99" i="3"/>
  <c r="G42" i="4"/>
  <c r="G92" i="4"/>
  <c r="E92" i="4"/>
  <c r="G91" i="4"/>
  <c r="G95" i="4" s="1"/>
  <c r="G93" i="4"/>
  <c r="E93" i="4"/>
  <c r="E91" i="4"/>
  <c r="E95" i="4" s="1"/>
  <c r="E39" i="4"/>
  <c r="D46" i="5"/>
  <c r="E38" i="5"/>
  <c r="E40" i="5"/>
  <c r="E39" i="5"/>
  <c r="D99" i="5"/>
  <c r="D99" i="4"/>
  <c r="E39" i="3"/>
  <c r="D46" i="4"/>
  <c r="E38" i="4"/>
  <c r="E41" i="5"/>
  <c r="E41" i="4"/>
  <c r="E40" i="3"/>
  <c r="D105" i="3"/>
  <c r="F99" i="5"/>
  <c r="E95" i="5" l="1"/>
  <c r="D103" i="5"/>
  <c r="E110" i="5" s="1"/>
  <c r="F110" i="5" s="1"/>
  <c r="E95" i="3"/>
  <c r="D52" i="3"/>
  <c r="D50" i="3"/>
  <c r="D51" i="3" s="1"/>
  <c r="E42" i="3"/>
  <c r="D105" i="4"/>
  <c r="D103" i="4"/>
  <c r="E112" i="4" s="1"/>
  <c r="F112" i="4" s="1"/>
  <c r="G67" i="3"/>
  <c r="H67" i="3" s="1"/>
  <c r="G63" i="3"/>
  <c r="H63" i="3" s="1"/>
  <c r="G71" i="3"/>
  <c r="H71" i="3" s="1"/>
  <c r="E112" i="5"/>
  <c r="F112" i="5" s="1"/>
  <c r="E113" i="5"/>
  <c r="F113" i="5" s="1"/>
  <c r="D104" i="5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D50" i="4"/>
  <c r="E42" i="4"/>
  <c r="D52" i="4"/>
  <c r="D50" i="5"/>
  <c r="E42" i="5"/>
  <c r="D52" i="5"/>
  <c r="E111" i="5" l="1"/>
  <c r="F111" i="5" s="1"/>
  <c r="E108" i="5"/>
  <c r="F108" i="5" s="1"/>
  <c r="E109" i="5"/>
  <c r="F109" i="5" s="1"/>
  <c r="G61" i="3"/>
  <c r="H61" i="3" s="1"/>
  <c r="G60" i="3"/>
  <c r="H60" i="3" s="1"/>
  <c r="G69" i="3"/>
  <c r="H69" i="3" s="1"/>
  <c r="G70" i="3"/>
  <c r="H70" i="3" s="1"/>
  <c r="G62" i="3"/>
  <c r="H62" i="3" s="1"/>
  <c r="G64" i="3"/>
  <c r="H64" i="3" s="1"/>
  <c r="G68" i="3"/>
  <c r="H68" i="3" s="1"/>
  <c r="G65" i="3"/>
  <c r="H65" i="3" s="1"/>
  <c r="G66" i="3"/>
  <c r="H66" i="3" s="1"/>
  <c r="E113" i="4"/>
  <c r="F113" i="4" s="1"/>
  <c r="E109" i="4"/>
  <c r="F109" i="4" s="1"/>
  <c r="E110" i="4"/>
  <c r="F110" i="4" s="1"/>
  <c r="E111" i="4"/>
  <c r="F111" i="4" s="1"/>
  <c r="D104" i="4"/>
  <c r="E108" i="4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E117" i="3"/>
  <c r="F108" i="3"/>
  <c r="E115" i="3"/>
  <c r="E116" i="3" s="1"/>
  <c r="E117" i="5" l="1"/>
  <c r="E115" i="5"/>
  <c r="E116" i="5" s="1"/>
  <c r="G72" i="3"/>
  <c r="G73" i="3" s="1"/>
  <c r="G74" i="3"/>
  <c r="E115" i="4"/>
  <c r="E116" i="4" s="1"/>
  <c r="F108" i="4"/>
  <c r="E117" i="4"/>
  <c r="F115" i="5"/>
  <c r="F117" i="5"/>
  <c r="G74" i="4"/>
  <c r="G72" i="4"/>
  <c r="G73" i="4" s="1"/>
  <c r="H60" i="4"/>
  <c r="G74" i="5"/>
  <c r="G72" i="5"/>
  <c r="G73" i="5" s="1"/>
  <c r="H60" i="5"/>
  <c r="H74" i="3"/>
  <c r="H72" i="3"/>
  <c r="F115" i="3"/>
  <c r="F117" i="3"/>
  <c r="F115" i="4"/>
  <c r="F117" i="4"/>
  <c r="G120" i="5" l="1"/>
  <c r="F116" i="5"/>
  <c r="G120" i="4"/>
  <c r="F116" i="4"/>
  <c r="H74" i="4"/>
  <c r="H72" i="4"/>
  <c r="G120" i="3"/>
  <c r="F116" i="3"/>
  <c r="G76" i="3"/>
  <c r="H73" i="3"/>
  <c r="H74" i="5"/>
  <c r="H72" i="5"/>
  <c r="G76" i="5" l="1"/>
  <c r="H73" i="5"/>
  <c r="G76" i="4"/>
  <c r="H73" i="4"/>
</calcChain>
</file>

<file path=xl/sharedStrings.xml><?xml version="1.0" encoding="utf-8"?>
<sst xmlns="http://schemas.openxmlformats.org/spreadsheetml/2006/main" count="642" uniqueCount="142">
  <si>
    <t>HPLC System Suitability Report</t>
  </si>
  <si>
    <t>Analysis Data</t>
  </si>
  <si>
    <t>Assay</t>
  </si>
  <si>
    <t>Sample(s)</t>
  </si>
  <si>
    <t>Reference Substance:</t>
  </si>
  <si>
    <t>FORSTAVIR-3</t>
  </si>
  <si>
    <t>% age Purity:</t>
  </si>
  <si>
    <t>NDQD201509265</t>
  </si>
  <si>
    <t>Weight (mg):</t>
  </si>
  <si>
    <t>Efavirenz, Tenofovir Disproxil Fumarate, Emtritabine</t>
  </si>
  <si>
    <t>Standard Conc (mg/mL):</t>
  </si>
  <si>
    <t>Each film coated tablet contains:
Efavirens USP 600 mg
Emtricitabine 200 mg
Tenofovir Disproxil Fumarate equivalent to Tenofovir Disproxil 245 mg</t>
  </si>
  <si>
    <t>2015-09-09 12:04:25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</si>
  <si>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</si>
  <si>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</si>
  <si>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</si>
  <si>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</si>
  <si>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</si>
  <si>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</si>
  <si>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</si>
  <si>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</si>
  <si>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</si>
  <si>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</si>
  <si>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</si>
  <si>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</si>
  <si>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</si>
  <si>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</si>
  <si>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</si>
  <si>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</si>
  <si>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</si>
  <si>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</si>
  <si>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</si>
  <si>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</si>
  <si>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</si>
  <si>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</si>
  <si>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</si>
  <si>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</si>
  <si>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</si>
  <si>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</si>
  <si>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</si>
  <si>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</si>
  <si>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</si>
  <si>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</si>
  <si>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</si>
  <si>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</si>
  <si>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</si>
  <si>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</si>
  <si>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</si>
  <si>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</si>
  <si>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</si>
  <si>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</si>
  <si>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</si>
  <si>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</si>
  <si>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</si>
  <si>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</si>
  <si>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</si>
  <si>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</si>
  <si>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</si>
  <si>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</si>
  <si>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</si>
  <si>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</si>
  <si>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</si>
  <si>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</si>
  <si>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</si>
  <si>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</si>
  <si>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</si>
  <si>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</si>
  <si>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</si>
  <si>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</si>
  <si>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</si>
  <si>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</si>
  <si>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</si>
  <si>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</si>
  <si>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</si>
  <si>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</si>
  <si>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</si>
  <si>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</si>
  <si>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</si>
  <si>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</si>
  <si>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</si>
  <si>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</si>
  <si>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</si>
  <si>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</si>
  <si>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</si>
  <si>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</si>
  <si>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</si>
  <si>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</si>
  <si>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</si>
  <si>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</si>
  <si>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</si>
  <si>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</si>
  <si>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</si>
  <si>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</si>
  <si>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</si>
  <si>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</si>
  <si>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</si>
  <si>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</si>
  <si>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</si>
  <si>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</si>
  <si>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</si>
  <si>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</si>
  <si>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</si>
  <si>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</si>
  <si>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</si>
  <si>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</si>
  <si>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</si>
  <si>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</si>
  <si>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</si>
  <si>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</si>
  <si>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</si>
  <si>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</si>
  <si>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</si>
  <si>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</si>
  <si>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</si>
  <si>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</si>
  <si>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</si>
  <si>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</si>
  <si>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</si>
  <si>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</si>
  <si>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</si>
  <si>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</si>
  <si>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</si>
  <si>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</si>
  <si>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</si>
  <si>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</si>
  <si>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Peak Resolution (USP)</t>
  </si>
  <si>
    <t>Efavirenz, Tenofovir Disproxil Fumarate, Emtricitabine</t>
  </si>
  <si>
    <t>EMTRICITABINE</t>
  </si>
  <si>
    <t>PRS E11 -2</t>
  </si>
  <si>
    <t xml:space="preserve">Each film coated tablet contains: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</si>
  <si>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</si>
  <si>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</si>
  <si>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</si>
  <si>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</si>
  <si>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</si>
  <si>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</si>
  <si>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</si>
  <si>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Each film coated tablet contains:
Efavirens USP 600 mg
Emtricitabine 200 mg Tenofovir Disproxil Fumarate equivalent to Tenofovir Disproxil 245 mg</t>
  </si>
  <si>
    <t>EFAVIRENZ</t>
  </si>
  <si>
    <t>E15-2</t>
  </si>
  <si>
    <t>Tenofovir Disproxil Fumarate</t>
  </si>
  <si>
    <t>E11-6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</si>
</sst>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20"/>
      <color rgb="FFFF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7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4" fillId="3" borderId="0" xfId="0" applyFont="1" applyFill="1" applyAlignment="1" applyProtection="1">
      <protection locked="0"/>
    </xf>
    <xf numFmtId="0" fontId="25" fillId="8" borderId="0" xfId="0" applyFont="1" applyFill="1"/>
    <xf numFmtId="0" fontId="26" fillId="3" borderId="0" xfId="0" applyFont="1" applyFill="1" applyAlignment="1" applyProtection="1">
      <protection locked="0"/>
    </xf>
    <xf numFmtId="0" fontId="26" fillId="3" borderId="0" xfId="0" applyFont="1" applyFill="1" applyAlignment="1" applyProtection="1">
      <alignment horizontal="left" wrapText="1"/>
      <protection locked="0"/>
    </xf>
    <xf numFmtId="0" fontId="27" fillId="3" borderId="0" xfId="0" applyFont="1" applyFill="1" applyAlignment="1" applyProtection="1">
      <alignment horizontal="left" wrapText="1"/>
      <protection locked="0"/>
    </xf>
    <xf numFmtId="0" fontId="26" fillId="3" borderId="0" xfId="0" applyFont="1" applyFill="1" applyAlignment="1" applyProtection="1">
      <alignment horizontal="left"/>
      <protection locked="0"/>
    </xf>
    <xf numFmtId="0" fontId="28" fillId="2" borderId="21" xfId="0" applyFont="1" applyFill="1" applyBorder="1" applyAlignment="1">
      <alignment horizontal="right"/>
    </xf>
    <xf numFmtId="0" fontId="27" fillId="3" borderId="22" xfId="0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0" fontId="30" fillId="2" borderId="47" xfId="0" applyFont="1" applyFill="1" applyBorder="1" applyAlignment="1">
      <alignment horizontal="center"/>
    </xf>
    <xf numFmtId="0" fontId="30" fillId="2" borderId="40" xfId="0" applyFont="1" applyFill="1" applyBorder="1" applyAlignment="1">
      <alignment horizontal="center"/>
    </xf>
    <xf numFmtId="0" fontId="30" fillId="2" borderId="47" xfId="0" applyFont="1" applyFill="1" applyBorder="1" applyAlignment="1">
      <alignment horizontal="center"/>
    </xf>
    <xf numFmtId="0" fontId="30" fillId="2" borderId="58" xfId="0" applyFont="1" applyFill="1" applyBorder="1" applyAlignment="1">
      <alignment horizontal="center"/>
    </xf>
    <xf numFmtId="0" fontId="28" fillId="2" borderId="23" xfId="0" applyFont="1" applyFill="1" applyBorder="1" applyAlignment="1">
      <alignment horizontal="right"/>
    </xf>
    <xf numFmtId="0" fontId="27" fillId="3" borderId="24" xfId="0" applyFont="1" applyFill="1" applyBorder="1" applyAlignment="1" applyProtection="1">
      <alignment horizontal="center"/>
      <protection locked="0"/>
    </xf>
    <xf numFmtId="0" fontId="30" fillId="2" borderId="10" xfId="0" applyFont="1" applyFill="1" applyBorder="1" applyAlignment="1">
      <alignment horizontal="center"/>
    </xf>
    <xf numFmtId="0" fontId="30" fillId="2" borderId="25" xfId="0" applyFont="1" applyFill="1" applyBorder="1" applyAlignment="1">
      <alignment horizontal="center"/>
    </xf>
    <xf numFmtId="0" fontId="30" fillId="2" borderId="26" xfId="0" applyFont="1" applyFill="1" applyBorder="1" applyAlignment="1">
      <alignment horizontal="center"/>
    </xf>
    <xf numFmtId="0" fontId="30" fillId="2" borderId="30" xfId="0" applyFont="1" applyFill="1" applyBorder="1" applyAlignment="1">
      <alignment horizontal="center"/>
    </xf>
    <xf numFmtId="0" fontId="28" fillId="2" borderId="48" xfId="0" applyFont="1" applyFill="1" applyBorder="1" applyAlignment="1">
      <alignment horizontal="center"/>
    </xf>
    <xf numFmtId="0" fontId="27" fillId="3" borderId="29" xfId="0" applyFont="1" applyFill="1" applyBorder="1" applyAlignment="1" applyProtection="1">
      <alignment horizontal="center"/>
      <protection locked="0"/>
    </xf>
    <xf numFmtId="171" fontId="28" fillId="2" borderId="26" xfId="0" applyNumberFormat="1" applyFont="1" applyFill="1" applyBorder="1" applyAlignment="1">
      <alignment horizontal="center"/>
    </xf>
    <xf numFmtId="171" fontId="28" fillId="2" borderId="30" xfId="0" applyNumberFormat="1" applyFont="1" applyFill="1" applyBorder="1" applyAlignment="1">
      <alignment horizontal="center"/>
    </xf>
    <xf numFmtId="0" fontId="28" fillId="2" borderId="0" xfId="0" applyFont="1" applyFill="1" applyAlignment="1">
      <alignment horizontal="center"/>
    </xf>
    <xf numFmtId="0" fontId="27" fillId="3" borderId="23" xfId="0" applyFont="1" applyFill="1" applyBorder="1" applyAlignment="1" applyProtection="1">
      <alignment horizontal="center"/>
      <protection locked="0"/>
    </xf>
    <xf numFmtId="171" fontId="28" fillId="2" borderId="31" xfId="0" applyNumberFormat="1" applyFont="1" applyFill="1" applyBorder="1" applyAlignment="1">
      <alignment horizontal="center"/>
    </xf>
    <xf numFmtId="171" fontId="28" fillId="2" borderId="32" xfId="0" applyNumberFormat="1" applyFont="1" applyFill="1" applyBorder="1" applyAlignment="1">
      <alignment horizontal="center"/>
    </xf>
    <xf numFmtId="0" fontId="28" fillId="2" borderId="7" xfId="0" applyFont="1" applyFill="1" applyBorder="1" applyAlignment="1">
      <alignment horizontal="center"/>
    </xf>
    <xf numFmtId="0" fontId="27" fillId="3" borderId="34" xfId="0" applyFont="1" applyFill="1" applyBorder="1" applyAlignment="1" applyProtection="1">
      <alignment horizontal="center"/>
      <protection locked="0"/>
    </xf>
    <xf numFmtId="171" fontId="28" fillId="2" borderId="35" xfId="0" applyNumberFormat="1" applyFont="1" applyFill="1" applyBorder="1" applyAlignment="1">
      <alignment horizontal="center"/>
    </xf>
    <xf numFmtId="171" fontId="27" fillId="3" borderId="34" xfId="0" applyNumberFormat="1" applyFont="1" applyFill="1" applyBorder="1" applyAlignment="1" applyProtection="1">
      <alignment horizontal="center"/>
      <protection locked="0"/>
    </xf>
    <xf numFmtId="171" fontId="28" fillId="2" borderId="36" xfId="0" applyNumberFormat="1" applyFont="1" applyFill="1" applyBorder="1" applyAlignment="1">
      <alignment horizontal="center"/>
    </xf>
    <xf numFmtId="0" fontId="28" fillId="2" borderId="0" xfId="0" applyFont="1" applyFill="1" applyAlignment="1">
      <alignment horizontal="right"/>
    </xf>
    <xf numFmtId="1" fontId="30" fillId="6" borderId="49" xfId="0" applyNumberFormat="1" applyFont="1" applyFill="1" applyBorder="1" applyAlignment="1">
      <alignment horizontal="center"/>
    </xf>
    <xf numFmtId="171" fontId="30" fillId="6" borderId="38" xfId="0" applyNumberFormat="1" applyFont="1" applyFill="1" applyBorder="1" applyAlignment="1">
      <alignment horizontal="center"/>
    </xf>
    <xf numFmtId="1" fontId="30" fillId="6" borderId="50" xfId="0" applyNumberFormat="1" applyFont="1" applyFill="1" applyBorder="1" applyAlignment="1">
      <alignment horizontal="center"/>
    </xf>
    <xf numFmtId="171" fontId="30" fillId="6" borderId="15" xfId="0" applyNumberFormat="1" applyFont="1" applyFill="1" applyBorder="1" applyAlignment="1">
      <alignment horizontal="center"/>
    </xf>
    <xf numFmtId="0" fontId="27" fillId="3" borderId="0" xfId="0" applyFont="1" applyFill="1" applyAlignment="1" applyProtection="1">
      <alignment horizontal="center"/>
      <protection locked="0"/>
    </xf>
    <xf numFmtId="0" fontId="28" fillId="2" borderId="51" xfId="0" applyFont="1" applyFill="1" applyBorder="1" applyAlignment="1">
      <alignment horizontal="right"/>
    </xf>
    <xf numFmtId="0" fontId="27" fillId="3" borderId="16" xfId="0" applyFont="1" applyFill="1" applyBorder="1" applyAlignment="1" applyProtection="1">
      <alignment horizontal="center"/>
      <protection locked="0"/>
    </xf>
    <xf numFmtId="0" fontId="28" fillId="2" borderId="0" xfId="0" applyFont="1" applyFill="1"/>
    <xf numFmtId="0" fontId="27" fillId="3" borderId="52" xfId="0" applyFont="1" applyFill="1" applyBorder="1" applyAlignment="1" applyProtection="1">
      <alignment horizontal="center"/>
      <protection locked="0"/>
    </xf>
    <xf numFmtId="0" fontId="14" fillId="2" borderId="0" xfId="0" applyFont="1" applyFill="1" applyAlignment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5081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(EM)"/>
      <sheetName val="SST (TDF)"/>
      <sheetName val="SST (EFV)"/>
      <sheetName val="Uniformity"/>
      <sheetName val="Efavirenz 5"/>
      <sheetName val="Emtricitabine 5"/>
      <sheetName val="TENOFOVIR 2"/>
      <sheetName val="EFAVIRENZ 2"/>
      <sheetName val="EMCITRABINE 2"/>
      <sheetName val="TENOFOVIR DISOPROXIL FUMERATE 2"/>
    </sheetNames>
    <sheetDataSet>
      <sheetData sheetId="0"/>
      <sheetData sheetId="1"/>
      <sheetData sheetId="2"/>
      <sheetData sheetId="3">
        <row r="14">
          <cell r="C14" t="str">
            <v>AVIRODAY - EM TABLETS</v>
          </cell>
        </row>
      </sheetData>
      <sheetData sheetId="4">
        <row r="26">
          <cell r="B26" t="str">
            <v>EFAVIRENZ</v>
          </cell>
        </row>
      </sheetData>
      <sheetData sheetId="5">
        <row r="26">
          <cell r="B26" t="str">
            <v>EMCITRABINE</v>
          </cell>
        </row>
      </sheetData>
      <sheetData sheetId="6">
        <row r="26">
          <cell r="B26" t="str">
            <v>TENOFOVIR DISOPROXIL FUMERATE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3" workbookViewId="0">
      <selection activeCell="B30" sqref="B30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2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17" t="s">
        <v>0</v>
      </c>
      <c r="B15" s="617"/>
      <c r="C15" s="617"/>
      <c r="D15" s="617"/>
      <c r="E15" s="617"/>
    </row>
    <row r="16" spans="1:6" ht="16.5" customHeight="1" x14ac:dyDescent="0.3">
      <c r="A16" s="618" t="s">
        <v>1</v>
      </c>
      <c r="B16" s="619" t="s">
        <v>2</v>
      </c>
    </row>
    <row r="17" spans="1:5" ht="16.5" customHeight="1" x14ac:dyDescent="0.3">
      <c r="A17" s="620" t="s">
        <v>3</v>
      </c>
      <c r="B17" s="620" t="str">
        <f>[1]Uniformity!C14</f>
        <v>AVIRODAY - EM TABLETS</v>
      </c>
      <c r="D17" s="621"/>
      <c r="E17" s="622"/>
    </row>
    <row r="18" spans="1:5" ht="16.5" customHeight="1" x14ac:dyDescent="0.3">
      <c r="A18" s="623" t="s">
        <v>4</v>
      </c>
      <c r="B18" s="620" t="str">
        <f>'[1]Emtricitabine 5'!B26:C26</f>
        <v>EMCITRABINE</v>
      </c>
      <c r="C18" s="622"/>
      <c r="D18" s="622"/>
      <c r="E18" s="622"/>
    </row>
    <row r="19" spans="1:5" ht="16.5" customHeight="1" x14ac:dyDescent="0.3">
      <c r="A19" s="623" t="s">
        <v>6</v>
      </c>
      <c r="B19" s="624">
        <v>99.3</v>
      </c>
      <c r="C19" s="622"/>
      <c r="D19" s="622"/>
      <c r="E19" s="622"/>
    </row>
    <row r="20" spans="1:5" ht="16.5" customHeight="1" x14ac:dyDescent="0.3">
      <c r="A20" s="620" t="s">
        <v>8</v>
      </c>
      <c r="B20" s="624">
        <f>EMCITRABINE!D43</f>
        <v>12.13</v>
      </c>
      <c r="C20" s="622"/>
      <c r="D20" s="622"/>
      <c r="E20" s="622"/>
    </row>
    <row r="21" spans="1:5" ht="16.5" customHeight="1" x14ac:dyDescent="0.3">
      <c r="A21" s="620" t="s">
        <v>10</v>
      </c>
      <c r="B21" s="625">
        <f>B20/EMCITRABINE!B45</f>
        <v>0.12130000000000001</v>
      </c>
      <c r="C21" s="622"/>
      <c r="D21" s="622"/>
      <c r="E21" s="622"/>
    </row>
    <row r="22" spans="1:5" ht="15.75" customHeight="1" x14ac:dyDescent="0.25">
      <c r="A22" s="622"/>
      <c r="B22" s="622"/>
      <c r="C22" s="622"/>
      <c r="D22" s="622"/>
      <c r="E22" s="622"/>
    </row>
    <row r="23" spans="1:5" ht="16.5" customHeight="1" x14ac:dyDescent="0.3">
      <c r="A23" s="626" t="s">
        <v>13</v>
      </c>
      <c r="B23" s="627" t="s">
        <v>14</v>
      </c>
      <c r="C23" s="626" t="s">
        <v>15</v>
      </c>
      <c r="D23" s="626" t="s">
        <v>16</v>
      </c>
      <c r="E23" s="626" t="s">
        <v>17</v>
      </c>
    </row>
    <row r="24" spans="1:5" ht="16.5" customHeight="1" x14ac:dyDescent="0.3">
      <c r="A24" s="628">
        <v>1</v>
      </c>
      <c r="B24" s="629">
        <v>28816610</v>
      </c>
      <c r="C24" s="629">
        <v>2692.5</v>
      </c>
      <c r="D24" s="630">
        <v>0.9</v>
      </c>
      <c r="E24" s="631">
        <v>4.0999999999999996</v>
      </c>
    </row>
    <row r="25" spans="1:5" ht="16.5" customHeight="1" x14ac:dyDescent="0.3">
      <c r="A25" s="628">
        <v>2</v>
      </c>
      <c r="B25" s="629">
        <v>28797425</v>
      </c>
      <c r="C25" s="629">
        <v>2623.7</v>
      </c>
      <c r="D25" s="630">
        <v>0.8</v>
      </c>
      <c r="E25" s="630">
        <v>4.0999999999999996</v>
      </c>
    </row>
    <row r="26" spans="1:5" ht="16.5" customHeight="1" x14ac:dyDescent="0.3">
      <c r="A26" s="628">
        <v>3</v>
      </c>
      <c r="B26" s="629">
        <v>29611656</v>
      </c>
      <c r="C26" s="629">
        <v>2427.9</v>
      </c>
      <c r="D26" s="630">
        <v>0.8</v>
      </c>
      <c r="E26" s="630">
        <v>4.0999999999999996</v>
      </c>
    </row>
    <row r="27" spans="1:5" ht="16.5" customHeight="1" x14ac:dyDescent="0.3">
      <c r="A27" s="628">
        <v>4</v>
      </c>
      <c r="B27" s="629">
        <v>29220758</v>
      </c>
      <c r="C27" s="629">
        <v>2476.9</v>
      </c>
      <c r="D27" s="630">
        <v>0.9</v>
      </c>
      <c r="E27" s="630">
        <v>4.0999999999999996</v>
      </c>
    </row>
    <row r="28" spans="1:5" ht="16.5" customHeight="1" x14ac:dyDescent="0.3">
      <c r="A28" s="628">
        <v>5</v>
      </c>
      <c r="B28" s="629">
        <v>29647065</v>
      </c>
      <c r="C28" s="629">
        <v>2433.6</v>
      </c>
      <c r="D28" s="630">
        <v>0.8</v>
      </c>
      <c r="E28" s="630">
        <v>4.0999999999999996</v>
      </c>
    </row>
    <row r="29" spans="1:5" ht="16.5" customHeight="1" x14ac:dyDescent="0.3">
      <c r="A29" s="628">
        <v>6</v>
      </c>
      <c r="B29" s="632">
        <v>29199002</v>
      </c>
      <c r="C29" s="632">
        <v>2500.6999999999998</v>
      </c>
      <c r="D29" s="633">
        <v>0.9</v>
      </c>
      <c r="E29" s="633">
        <v>4.0999999999999996</v>
      </c>
    </row>
    <row r="30" spans="1:5" ht="16.5" customHeight="1" x14ac:dyDescent="0.3">
      <c r="A30" s="634" t="s">
        <v>18</v>
      </c>
      <c r="B30" s="635">
        <f>AVERAGE(B24:B29)</f>
        <v>29215419.333333332</v>
      </c>
      <c r="C30" s="636">
        <f>AVERAGE(C24:C29)</f>
        <v>2525.8833333333332</v>
      </c>
      <c r="D30" s="637">
        <f>AVERAGE(D24:D29)</f>
        <v>0.85000000000000009</v>
      </c>
      <c r="E30" s="637">
        <f>AVERAGE(E24:E29)</f>
        <v>4.1000000000000005</v>
      </c>
    </row>
    <row r="31" spans="1:5" ht="16.5" customHeight="1" x14ac:dyDescent="0.3">
      <c r="A31" s="638" t="s">
        <v>19</v>
      </c>
      <c r="B31" s="639">
        <f>(STDEV(B24:B29)/B30)</f>
        <v>1.259857751484251E-2</v>
      </c>
      <c r="C31" s="640"/>
      <c r="D31" s="640"/>
      <c r="E31" s="641"/>
    </row>
    <row r="32" spans="1:5" s="615" customFormat="1" ht="16.5" customHeight="1" x14ac:dyDescent="0.3">
      <c r="A32" s="642" t="s">
        <v>20</v>
      </c>
      <c r="B32" s="643">
        <f>COUNT(B24:B29)</f>
        <v>6</v>
      </c>
      <c r="C32" s="644"/>
      <c r="D32" s="645"/>
      <c r="E32" s="646"/>
    </row>
    <row r="33" spans="1:5" s="615" customFormat="1" ht="15.75" customHeight="1" x14ac:dyDescent="0.25">
      <c r="A33" s="622"/>
      <c r="B33" s="622"/>
      <c r="C33" s="622"/>
      <c r="D33" s="622"/>
      <c r="E33" s="622"/>
    </row>
    <row r="34" spans="1:5" s="615" customFormat="1" ht="16.5" customHeight="1" x14ac:dyDescent="0.3">
      <c r="A34" s="623" t="s">
        <v>21</v>
      </c>
      <c r="B34" s="647" t="s">
        <v>22</v>
      </c>
      <c r="C34" s="648"/>
      <c r="D34" s="648"/>
      <c r="E34" s="648"/>
    </row>
    <row r="35" spans="1:5" ht="16.5" customHeight="1" x14ac:dyDescent="0.3">
      <c r="A35" s="623"/>
      <c r="B35" s="647" t="s">
        <v>23</v>
      </c>
      <c r="C35" s="648"/>
      <c r="D35" s="648"/>
      <c r="E35" s="648"/>
    </row>
    <row r="36" spans="1:5" ht="16.5" customHeight="1" x14ac:dyDescent="0.3">
      <c r="A36" s="623"/>
      <c r="B36" s="647" t="s">
        <v>24</v>
      </c>
      <c r="C36" s="648"/>
      <c r="D36" s="648"/>
      <c r="E36" s="648"/>
    </row>
    <row r="37" spans="1:5" ht="15.75" customHeight="1" x14ac:dyDescent="0.25">
      <c r="A37" s="622"/>
      <c r="B37" s="622"/>
      <c r="C37" s="622"/>
      <c r="D37" s="622"/>
      <c r="E37" s="622"/>
    </row>
    <row r="38" spans="1:5" ht="16.5" customHeight="1" x14ac:dyDescent="0.3">
      <c r="A38" s="618" t="s">
        <v>1</v>
      </c>
      <c r="B38" s="619" t="s">
        <v>25</v>
      </c>
    </row>
    <row r="39" spans="1:5" ht="16.5" customHeight="1" x14ac:dyDescent="0.3">
      <c r="A39" s="623" t="s">
        <v>4</v>
      </c>
      <c r="B39" s="620" t="str">
        <f>B18</f>
        <v>EMCITRABINE</v>
      </c>
      <c r="C39" s="622"/>
      <c r="D39" s="622"/>
      <c r="E39" s="622"/>
    </row>
    <row r="40" spans="1:5" ht="16.5" customHeight="1" x14ac:dyDescent="0.3">
      <c r="A40" s="623" t="s">
        <v>6</v>
      </c>
      <c r="B40" s="624">
        <v>99.8</v>
      </c>
      <c r="C40" s="622"/>
      <c r="D40" s="622"/>
      <c r="E40" s="622"/>
    </row>
    <row r="41" spans="1:5" ht="16.5" customHeight="1" x14ac:dyDescent="0.3">
      <c r="A41" s="620" t="s">
        <v>8</v>
      </c>
      <c r="B41" s="624">
        <v>10.62</v>
      </c>
      <c r="C41" s="622"/>
      <c r="D41" s="622"/>
      <c r="E41" s="622"/>
    </row>
    <row r="42" spans="1:5" ht="16.5" customHeight="1" x14ac:dyDescent="0.3">
      <c r="A42" s="620" t="s">
        <v>10</v>
      </c>
      <c r="B42" s="625">
        <v>0.02</v>
      </c>
      <c r="C42" s="622"/>
      <c r="D42" s="622"/>
      <c r="E42" s="622"/>
    </row>
    <row r="43" spans="1:5" ht="15.75" customHeight="1" x14ac:dyDescent="0.25">
      <c r="A43" s="622"/>
      <c r="B43" s="622"/>
      <c r="C43" s="622"/>
      <c r="D43" s="622"/>
      <c r="E43" s="622"/>
    </row>
    <row r="44" spans="1:5" ht="16.5" customHeight="1" x14ac:dyDescent="0.3">
      <c r="A44" s="626" t="s">
        <v>13</v>
      </c>
      <c r="B44" s="627" t="s">
        <v>14</v>
      </c>
      <c r="C44" s="626" t="s">
        <v>15</v>
      </c>
      <c r="D44" s="626" t="s">
        <v>16</v>
      </c>
      <c r="E44" s="626" t="s">
        <v>17</v>
      </c>
    </row>
    <row r="45" spans="1:5" ht="16.5" customHeight="1" x14ac:dyDescent="0.3">
      <c r="A45" s="628">
        <v>1</v>
      </c>
      <c r="B45" s="629">
        <v>6183543</v>
      </c>
      <c r="C45" s="629">
        <v>27493.8</v>
      </c>
      <c r="D45" s="630">
        <v>1.1000000000000001</v>
      </c>
      <c r="E45" s="631">
        <v>6.5</v>
      </c>
    </row>
    <row r="46" spans="1:5" ht="16.5" customHeight="1" x14ac:dyDescent="0.3">
      <c r="A46" s="628">
        <v>2</v>
      </c>
      <c r="B46" s="629">
        <v>6110911</v>
      </c>
      <c r="C46" s="629">
        <v>27155.4</v>
      </c>
      <c r="D46" s="630">
        <v>1.1000000000000001</v>
      </c>
      <c r="E46" s="630">
        <v>6.4</v>
      </c>
    </row>
    <row r="47" spans="1:5" ht="16.5" customHeight="1" x14ac:dyDescent="0.3">
      <c r="A47" s="628">
        <v>3</v>
      </c>
      <c r="B47" s="629">
        <v>6179030</v>
      </c>
      <c r="C47" s="629">
        <v>25312.7</v>
      </c>
      <c r="D47" s="630">
        <v>1.1000000000000001</v>
      </c>
      <c r="E47" s="630">
        <v>6.4</v>
      </c>
    </row>
    <row r="48" spans="1:5" ht="16.5" customHeight="1" x14ac:dyDescent="0.3">
      <c r="A48" s="628">
        <v>4</v>
      </c>
      <c r="B48" s="629">
        <v>6180119</v>
      </c>
      <c r="C48" s="629">
        <v>25173.5</v>
      </c>
      <c r="D48" s="630">
        <v>1.2</v>
      </c>
      <c r="E48" s="630">
        <v>6.4</v>
      </c>
    </row>
    <row r="49" spans="1:7" ht="16.5" customHeight="1" x14ac:dyDescent="0.3">
      <c r="A49" s="628">
        <v>5</v>
      </c>
      <c r="B49" s="629">
        <v>6171291</v>
      </c>
      <c r="C49" s="629">
        <v>25544.7</v>
      </c>
      <c r="D49" s="630">
        <v>1.1000000000000001</v>
      </c>
      <c r="E49" s="630">
        <v>6.4</v>
      </c>
    </row>
    <row r="50" spans="1:7" ht="16.5" customHeight="1" x14ac:dyDescent="0.3">
      <c r="A50" s="628">
        <v>6</v>
      </c>
      <c r="B50" s="632">
        <v>6172895</v>
      </c>
      <c r="C50" s="632">
        <v>25921.200000000001</v>
      </c>
      <c r="D50" s="633">
        <v>1.1000000000000001</v>
      </c>
      <c r="E50" s="633">
        <v>6.4</v>
      </c>
    </row>
    <row r="51" spans="1:7" ht="16.5" customHeight="1" x14ac:dyDescent="0.3">
      <c r="A51" s="634" t="s">
        <v>18</v>
      </c>
      <c r="B51" s="635">
        <f>AVERAGE(B45:B50)</f>
        <v>6166298.166666667</v>
      </c>
      <c r="C51" s="636">
        <f>AVERAGE(C45:C50)</f>
        <v>26100.216666666664</v>
      </c>
      <c r="D51" s="637">
        <f>AVERAGE(D45:D50)</f>
        <v>1.1166666666666665</v>
      </c>
      <c r="E51" s="637">
        <f>AVERAGE(E45:E50)</f>
        <v>6.416666666666667</v>
      </c>
    </row>
    <row r="52" spans="1:7" ht="16.5" customHeight="1" x14ac:dyDescent="0.3">
      <c r="A52" s="638" t="s">
        <v>19</v>
      </c>
      <c r="B52" s="639">
        <f>(STDEV(B45:B50)/B51)</f>
        <v>4.4629293924149339E-3</v>
      </c>
      <c r="C52" s="640"/>
      <c r="D52" s="640"/>
      <c r="E52" s="641"/>
    </row>
    <row r="53" spans="1:7" s="615" customFormat="1" ht="16.5" customHeight="1" x14ac:dyDescent="0.3">
      <c r="A53" s="642" t="s">
        <v>20</v>
      </c>
      <c r="B53" s="643">
        <f>COUNT(B45:B50)</f>
        <v>6</v>
      </c>
      <c r="C53" s="644"/>
      <c r="D53" s="645"/>
      <c r="E53" s="646"/>
    </row>
    <row r="54" spans="1:7" s="615" customFormat="1" ht="15.75" customHeight="1" x14ac:dyDescent="0.25">
      <c r="A54" s="622"/>
      <c r="B54" s="622"/>
      <c r="C54" s="622"/>
      <c r="D54" s="622"/>
      <c r="E54" s="622"/>
    </row>
    <row r="55" spans="1:7" s="615" customFormat="1" ht="16.5" customHeight="1" x14ac:dyDescent="0.3">
      <c r="A55" s="623" t="s">
        <v>21</v>
      </c>
      <c r="B55" s="647" t="s">
        <v>22</v>
      </c>
      <c r="C55" s="648"/>
      <c r="D55" s="648"/>
      <c r="E55" s="648"/>
    </row>
    <row r="56" spans="1:7" ht="16.5" customHeight="1" x14ac:dyDescent="0.3">
      <c r="A56" s="623"/>
      <c r="B56" s="647" t="s">
        <v>23</v>
      </c>
      <c r="C56" s="648"/>
      <c r="D56" s="648"/>
      <c r="E56" s="648"/>
    </row>
    <row r="57" spans="1:7" ht="16.5" customHeight="1" x14ac:dyDescent="0.3">
      <c r="A57" s="623"/>
      <c r="B57" s="647" t="s">
        <v>24</v>
      </c>
      <c r="C57" s="648"/>
      <c r="D57" s="648"/>
      <c r="E57" s="648"/>
    </row>
    <row r="58" spans="1:7" ht="14.25" customHeight="1" thickBot="1" x14ac:dyDescent="0.3">
      <c r="A58" s="649"/>
      <c r="B58" s="650"/>
      <c r="D58" s="651"/>
      <c r="F58" s="652"/>
      <c r="G58" s="652"/>
    </row>
    <row r="59" spans="1:7" ht="15" customHeight="1" x14ac:dyDescent="0.3">
      <c r="B59" s="653" t="s">
        <v>26</v>
      </c>
      <c r="C59" s="653"/>
      <c r="E59" s="654" t="s">
        <v>27</v>
      </c>
      <c r="F59" s="655"/>
      <c r="G59" s="654" t="s">
        <v>28</v>
      </c>
    </row>
    <row r="60" spans="1:7" ht="15" customHeight="1" x14ac:dyDescent="0.3">
      <c r="A60" s="656" t="s">
        <v>29</v>
      </c>
      <c r="B60" s="657"/>
      <c r="C60" s="657"/>
      <c r="E60" s="657"/>
      <c r="G60" s="657"/>
    </row>
    <row r="61" spans="1:7" ht="15" customHeight="1" x14ac:dyDescent="0.3">
      <c r="A61" s="656" t="s">
        <v>30</v>
      </c>
      <c r="B61" s="658"/>
      <c r="C61" s="658"/>
      <c r="E61" s="658"/>
      <c r="G61" s="6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5" workbookViewId="0">
      <selection activeCell="B30" sqref="B30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2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17" t="s">
        <v>0</v>
      </c>
      <c r="B15" s="617"/>
      <c r="C15" s="617"/>
      <c r="D15" s="617"/>
      <c r="E15" s="617"/>
    </row>
    <row r="16" spans="1:6" ht="16.5" customHeight="1" x14ac:dyDescent="0.3">
      <c r="A16" s="618" t="s">
        <v>1</v>
      </c>
      <c r="B16" s="619" t="s">
        <v>2</v>
      </c>
    </row>
    <row r="17" spans="1:6" ht="16.5" customHeight="1" x14ac:dyDescent="0.3">
      <c r="A17" s="620" t="s">
        <v>3</v>
      </c>
      <c r="B17" s="620" t="str">
        <f>[1]Uniformity!C14</f>
        <v>AVIRODAY - EM TABLETS</v>
      </c>
      <c r="D17" s="621"/>
      <c r="E17" s="622"/>
    </row>
    <row r="18" spans="1:6" ht="16.5" customHeight="1" x14ac:dyDescent="0.3">
      <c r="A18" s="623" t="s">
        <v>4</v>
      </c>
      <c r="B18" s="620" t="str">
        <f>'[1]TENOFOVIR 2'!B26:C26</f>
        <v>TENOFOVIR DISOPROXIL FUMERATE</v>
      </c>
      <c r="C18" s="622"/>
      <c r="D18" s="622"/>
      <c r="E18" s="622"/>
    </row>
    <row r="19" spans="1:6" ht="16.5" customHeight="1" x14ac:dyDescent="0.3">
      <c r="A19" s="623" t="s">
        <v>6</v>
      </c>
      <c r="B19" s="624">
        <f>'TENOFOVIR DISOPROXIL FUMERATE'!B30</f>
        <v>98.8</v>
      </c>
      <c r="C19" s="622"/>
      <c r="D19" s="622"/>
      <c r="E19" s="622"/>
    </row>
    <row r="20" spans="1:6" ht="16.5" customHeight="1" x14ac:dyDescent="0.3">
      <c r="A20" s="620" t="s">
        <v>8</v>
      </c>
      <c r="B20" s="624">
        <f>'TENOFOVIR DISOPROXIL FUMERATE'!D43</f>
        <v>16.37</v>
      </c>
      <c r="C20" s="622"/>
      <c r="D20" s="622"/>
      <c r="E20" s="622"/>
    </row>
    <row r="21" spans="1:6" ht="16.5" customHeight="1" x14ac:dyDescent="0.3">
      <c r="A21" s="620" t="s">
        <v>10</v>
      </c>
      <c r="B21" s="625">
        <f>B20/'TENOFOVIR DISOPROXIL FUMERATE'!B45</f>
        <v>0.16370000000000001</v>
      </c>
      <c r="C21" s="622"/>
      <c r="D21" s="622"/>
      <c r="E21" s="622"/>
    </row>
    <row r="22" spans="1:6" ht="15.75" customHeight="1" x14ac:dyDescent="0.25">
      <c r="A22" s="622"/>
      <c r="B22" s="622"/>
      <c r="C22" s="622"/>
      <c r="D22" s="622"/>
      <c r="E22" s="622"/>
    </row>
    <row r="23" spans="1:6" ht="16.5" customHeight="1" x14ac:dyDescent="0.3">
      <c r="A23" s="626" t="s">
        <v>13</v>
      </c>
      <c r="B23" s="627" t="s">
        <v>14</v>
      </c>
      <c r="C23" s="626" t="s">
        <v>15</v>
      </c>
      <c r="D23" s="626" t="s">
        <v>16</v>
      </c>
      <c r="E23" s="626" t="s">
        <v>17</v>
      </c>
      <c r="F23" s="626" t="s">
        <v>125</v>
      </c>
    </row>
    <row r="24" spans="1:6" ht="16.5" customHeight="1" x14ac:dyDescent="0.3">
      <c r="A24" s="628">
        <v>1</v>
      </c>
      <c r="B24" s="629">
        <v>35602715</v>
      </c>
      <c r="C24" s="629">
        <v>1308083</v>
      </c>
      <c r="D24" s="630">
        <v>1.1000000000000001</v>
      </c>
      <c r="E24" s="631">
        <v>15.8</v>
      </c>
      <c r="F24" s="631">
        <v>47.8</v>
      </c>
    </row>
    <row r="25" spans="1:6" ht="16.5" customHeight="1" x14ac:dyDescent="0.3">
      <c r="A25" s="628">
        <v>2</v>
      </c>
      <c r="B25" s="629">
        <v>35579273</v>
      </c>
      <c r="C25" s="629">
        <v>138133.5</v>
      </c>
      <c r="D25" s="630">
        <v>1.1000000000000001</v>
      </c>
      <c r="E25" s="630">
        <v>15.8</v>
      </c>
      <c r="F25" s="630">
        <v>47.4</v>
      </c>
    </row>
    <row r="26" spans="1:6" ht="16.5" customHeight="1" x14ac:dyDescent="0.3">
      <c r="A26" s="628">
        <v>3</v>
      </c>
      <c r="B26" s="629">
        <v>36563205</v>
      </c>
      <c r="C26" s="629">
        <v>139635</v>
      </c>
      <c r="D26" s="630">
        <v>1.1000000000000001</v>
      </c>
      <c r="E26" s="630">
        <v>15.8</v>
      </c>
      <c r="F26" s="630">
        <v>46.2</v>
      </c>
    </row>
    <row r="27" spans="1:6" ht="16.5" customHeight="1" x14ac:dyDescent="0.3">
      <c r="A27" s="628">
        <v>4</v>
      </c>
      <c r="B27" s="629">
        <v>36099073</v>
      </c>
      <c r="C27" s="629">
        <v>139725.29999999999</v>
      </c>
      <c r="D27" s="630">
        <v>1.1000000000000001</v>
      </c>
      <c r="E27" s="630">
        <v>15.8</v>
      </c>
      <c r="F27" s="630">
        <v>46.5</v>
      </c>
    </row>
    <row r="28" spans="1:6" ht="16.5" customHeight="1" x14ac:dyDescent="0.3">
      <c r="A28" s="628">
        <v>5</v>
      </c>
      <c r="B28" s="629">
        <v>36626927</v>
      </c>
      <c r="C28" s="629">
        <v>139476.29999999999</v>
      </c>
      <c r="D28" s="630">
        <v>1.1000000000000001</v>
      </c>
      <c r="E28" s="630">
        <v>15.8</v>
      </c>
      <c r="F28" s="630">
        <v>46.3</v>
      </c>
    </row>
    <row r="29" spans="1:6" ht="16.5" customHeight="1" x14ac:dyDescent="0.3">
      <c r="A29" s="628">
        <v>6</v>
      </c>
      <c r="B29" s="632">
        <v>36077615</v>
      </c>
      <c r="C29" s="632">
        <v>139674.6</v>
      </c>
      <c r="D29" s="633">
        <v>1.1000000000000001</v>
      </c>
      <c r="E29" s="633">
        <v>15.8</v>
      </c>
      <c r="F29" s="633">
        <v>46.7</v>
      </c>
    </row>
    <row r="30" spans="1:6" ht="16.5" customHeight="1" x14ac:dyDescent="0.3">
      <c r="A30" s="634" t="s">
        <v>18</v>
      </c>
      <c r="B30" s="635">
        <f>AVERAGE(B24:B29)</f>
        <v>36091468</v>
      </c>
      <c r="C30" s="636">
        <f>AVERAGE(C24:C29)</f>
        <v>334121.28333333338</v>
      </c>
      <c r="D30" s="637">
        <f>AVERAGE(D24:D29)</f>
        <v>1.0999999999999999</v>
      </c>
      <c r="E30" s="637">
        <f>AVERAGE(E24:E29)</f>
        <v>15.799999999999999</v>
      </c>
      <c r="F30" s="637">
        <f>AVERAGE(F24:F29)</f>
        <v>46.816666666666663</v>
      </c>
    </row>
    <row r="31" spans="1:6" ht="16.5" customHeight="1" x14ac:dyDescent="0.3">
      <c r="A31" s="638" t="s">
        <v>19</v>
      </c>
      <c r="B31" s="639">
        <f>(STDEV(B24:B29)/B30)</f>
        <v>1.2457387521828105E-2</v>
      </c>
      <c r="C31" s="640"/>
      <c r="D31" s="640"/>
      <c r="E31" s="641"/>
      <c r="F31" s="641"/>
    </row>
    <row r="32" spans="1:6" s="615" customFormat="1" ht="16.5" customHeight="1" x14ac:dyDescent="0.3">
      <c r="A32" s="642" t="s">
        <v>20</v>
      </c>
      <c r="B32" s="643">
        <f>COUNT(B24:B29)</f>
        <v>6</v>
      </c>
      <c r="C32" s="644"/>
      <c r="D32" s="645"/>
      <c r="E32" s="646"/>
      <c r="F32" s="646"/>
    </row>
    <row r="33" spans="1:6" s="615" customFormat="1" ht="15.75" customHeight="1" x14ac:dyDescent="0.25">
      <c r="A33" s="622"/>
      <c r="B33" s="622"/>
      <c r="C33" s="622"/>
      <c r="D33" s="622"/>
      <c r="E33" s="622"/>
    </row>
    <row r="34" spans="1:6" s="615" customFormat="1" ht="16.5" customHeight="1" x14ac:dyDescent="0.3">
      <c r="A34" s="623" t="s">
        <v>21</v>
      </c>
      <c r="B34" s="647" t="s">
        <v>22</v>
      </c>
      <c r="C34" s="648"/>
      <c r="D34" s="648"/>
      <c r="E34" s="648"/>
    </row>
    <row r="35" spans="1:6" ht="16.5" customHeight="1" x14ac:dyDescent="0.3">
      <c r="A35" s="623"/>
      <c r="B35" s="647" t="s">
        <v>23</v>
      </c>
      <c r="C35" s="648"/>
      <c r="D35" s="648"/>
      <c r="E35" s="648"/>
    </row>
    <row r="36" spans="1:6" ht="16.5" customHeight="1" x14ac:dyDescent="0.3">
      <c r="A36" s="623"/>
      <c r="B36" s="647" t="s">
        <v>24</v>
      </c>
      <c r="C36" s="648"/>
      <c r="D36" s="648"/>
      <c r="E36" s="648"/>
    </row>
    <row r="37" spans="1:6" ht="15.75" customHeight="1" x14ac:dyDescent="0.25">
      <c r="A37" s="622"/>
      <c r="B37" s="622"/>
      <c r="C37" s="622"/>
      <c r="D37" s="622"/>
      <c r="E37" s="622"/>
    </row>
    <row r="38" spans="1:6" ht="16.5" customHeight="1" x14ac:dyDescent="0.3">
      <c r="A38" s="618" t="s">
        <v>1</v>
      </c>
      <c r="B38" s="619" t="s">
        <v>25</v>
      </c>
    </row>
    <row r="39" spans="1:6" ht="16.5" customHeight="1" x14ac:dyDescent="0.3">
      <c r="A39" s="623" t="s">
        <v>4</v>
      </c>
      <c r="B39" s="620" t="str">
        <f>B18</f>
        <v>TENOFOVIR DISOPROXIL FUMERATE</v>
      </c>
      <c r="C39" s="622"/>
      <c r="D39" s="622"/>
      <c r="E39" s="622"/>
    </row>
    <row r="40" spans="1:6" ht="16.5" customHeight="1" x14ac:dyDescent="0.3">
      <c r="A40" s="623" t="s">
        <v>6</v>
      </c>
      <c r="B40" s="624">
        <f>B19</f>
        <v>98.8</v>
      </c>
      <c r="C40" s="622"/>
      <c r="D40" s="622"/>
      <c r="E40" s="622"/>
    </row>
    <row r="41" spans="1:6" ht="16.5" customHeight="1" x14ac:dyDescent="0.3">
      <c r="A41" s="620" t="s">
        <v>8</v>
      </c>
      <c r="B41" s="624">
        <v>29.71</v>
      </c>
      <c r="C41" s="622"/>
      <c r="D41" s="622"/>
      <c r="E41" s="622"/>
    </row>
    <row r="42" spans="1:6" ht="16.5" customHeight="1" x14ac:dyDescent="0.3">
      <c r="A42" s="620" t="s">
        <v>10</v>
      </c>
      <c r="B42" s="625">
        <v>0.03</v>
      </c>
      <c r="C42" s="622"/>
      <c r="D42" s="622"/>
      <c r="E42" s="622"/>
    </row>
    <row r="43" spans="1:6" ht="15.75" customHeight="1" x14ac:dyDescent="0.25">
      <c r="A43" s="622"/>
      <c r="B43" s="622"/>
      <c r="C43" s="622"/>
      <c r="D43" s="622"/>
      <c r="E43" s="622"/>
    </row>
    <row r="44" spans="1:6" ht="16.5" customHeight="1" x14ac:dyDescent="0.3">
      <c r="A44" s="626" t="s">
        <v>13</v>
      </c>
      <c r="B44" s="627" t="s">
        <v>14</v>
      </c>
      <c r="C44" s="626" t="s">
        <v>15</v>
      </c>
      <c r="D44" s="626" t="s">
        <v>16</v>
      </c>
      <c r="E44" s="626" t="s">
        <v>17</v>
      </c>
      <c r="F44" s="626" t="s">
        <v>125</v>
      </c>
    </row>
    <row r="45" spans="1:6" ht="16.5" customHeight="1" x14ac:dyDescent="0.3">
      <c r="A45" s="628">
        <v>1</v>
      </c>
      <c r="B45" s="629">
        <v>8229722</v>
      </c>
      <c r="C45" s="629">
        <v>165805.29999999999</v>
      </c>
      <c r="D45" s="630">
        <v>1</v>
      </c>
      <c r="E45" s="631">
        <v>15.9</v>
      </c>
      <c r="F45" s="631">
        <v>60.4</v>
      </c>
    </row>
    <row r="46" spans="1:6" ht="16.5" customHeight="1" x14ac:dyDescent="0.3">
      <c r="A46" s="628">
        <v>2</v>
      </c>
      <c r="B46" s="629">
        <v>8194397</v>
      </c>
      <c r="C46" s="629">
        <v>165022.20000000001</v>
      </c>
      <c r="D46" s="630">
        <v>1</v>
      </c>
      <c r="E46" s="630">
        <v>15.9</v>
      </c>
      <c r="F46" s="630">
        <v>60.4</v>
      </c>
    </row>
    <row r="47" spans="1:6" ht="16.5" customHeight="1" x14ac:dyDescent="0.3">
      <c r="A47" s="628">
        <v>3</v>
      </c>
      <c r="B47" s="629">
        <v>8298824</v>
      </c>
      <c r="C47" s="629">
        <v>166797.5</v>
      </c>
      <c r="D47" s="630">
        <v>1</v>
      </c>
      <c r="E47" s="630">
        <v>15.9</v>
      </c>
      <c r="F47" s="630">
        <v>59.8</v>
      </c>
    </row>
    <row r="48" spans="1:6" ht="16.5" customHeight="1" x14ac:dyDescent="0.3">
      <c r="A48" s="628">
        <v>4</v>
      </c>
      <c r="B48" s="629">
        <v>8313326</v>
      </c>
      <c r="C48" s="629">
        <v>164357.1</v>
      </c>
      <c r="D48" s="630">
        <v>1.1000000000000001</v>
      </c>
      <c r="E48" s="630">
        <v>15.9</v>
      </c>
      <c r="F48" s="630">
        <v>59.5</v>
      </c>
    </row>
    <row r="49" spans="1:7" ht="16.5" customHeight="1" x14ac:dyDescent="0.3">
      <c r="A49" s="628">
        <v>5</v>
      </c>
      <c r="B49" s="629">
        <v>8292693</v>
      </c>
      <c r="C49" s="629">
        <v>165140</v>
      </c>
      <c r="D49" s="630">
        <v>1</v>
      </c>
      <c r="E49" s="630">
        <v>15.9</v>
      </c>
      <c r="F49" s="630">
        <v>59.7</v>
      </c>
    </row>
    <row r="50" spans="1:7" ht="16.5" customHeight="1" x14ac:dyDescent="0.3">
      <c r="A50" s="628">
        <v>6</v>
      </c>
      <c r="B50" s="632">
        <v>8288377</v>
      </c>
      <c r="C50" s="632">
        <v>168031.8</v>
      </c>
      <c r="D50" s="633">
        <v>1</v>
      </c>
      <c r="E50" s="633">
        <v>15.9</v>
      </c>
      <c r="F50" s="633">
        <v>60.1</v>
      </c>
    </row>
    <row r="51" spans="1:7" ht="16.5" customHeight="1" x14ac:dyDescent="0.3">
      <c r="A51" s="634" t="s">
        <v>18</v>
      </c>
      <c r="B51" s="635">
        <f>AVERAGE(B45:B50)</f>
        <v>8269556.5</v>
      </c>
      <c r="C51" s="636">
        <f>AVERAGE(C45:C50)</f>
        <v>165858.98333333331</v>
      </c>
      <c r="D51" s="637">
        <f>AVERAGE(D45:D50)</f>
        <v>1.0166666666666666</v>
      </c>
      <c r="E51" s="637">
        <f>AVERAGE(E45:E50)</f>
        <v>15.9</v>
      </c>
      <c r="F51" s="637">
        <f>AVERAGE(F45:F50)</f>
        <v>59.983333333333341</v>
      </c>
    </row>
    <row r="52" spans="1:7" ht="16.5" customHeight="1" x14ac:dyDescent="0.3">
      <c r="A52" s="638" t="s">
        <v>19</v>
      </c>
      <c r="B52" s="639">
        <f>(STDEV(B45:B50)/B51)</f>
        <v>5.6454460014829727E-3</v>
      </c>
      <c r="C52" s="640"/>
      <c r="D52" s="640"/>
      <c r="E52" s="641"/>
      <c r="F52" s="641"/>
    </row>
    <row r="53" spans="1:7" s="615" customFormat="1" ht="16.5" customHeight="1" x14ac:dyDescent="0.3">
      <c r="A53" s="642" t="s">
        <v>20</v>
      </c>
      <c r="B53" s="643">
        <f>COUNT(B45:B50)</f>
        <v>6</v>
      </c>
      <c r="C53" s="644"/>
      <c r="D53" s="645"/>
      <c r="E53" s="646"/>
      <c r="F53" s="646"/>
    </row>
    <row r="54" spans="1:7" s="615" customFormat="1" ht="15.75" customHeight="1" x14ac:dyDescent="0.25">
      <c r="A54" s="622"/>
      <c r="B54" s="622"/>
      <c r="C54" s="622"/>
      <c r="D54" s="622"/>
      <c r="E54" s="622"/>
    </row>
    <row r="55" spans="1:7" s="615" customFormat="1" ht="16.5" customHeight="1" x14ac:dyDescent="0.3">
      <c r="A55" s="623" t="s">
        <v>21</v>
      </c>
      <c r="B55" s="647" t="s">
        <v>22</v>
      </c>
      <c r="C55" s="648"/>
      <c r="D55" s="648"/>
      <c r="E55" s="648"/>
    </row>
    <row r="56" spans="1:7" ht="16.5" customHeight="1" x14ac:dyDescent="0.3">
      <c r="A56" s="623"/>
      <c r="B56" s="647" t="s">
        <v>23</v>
      </c>
      <c r="C56" s="648"/>
      <c r="D56" s="648"/>
      <c r="E56" s="648"/>
    </row>
    <row r="57" spans="1:7" ht="16.5" customHeight="1" x14ac:dyDescent="0.3">
      <c r="A57" s="623"/>
      <c r="B57" s="647" t="s">
        <v>24</v>
      </c>
      <c r="C57" s="648"/>
      <c r="D57" s="648"/>
      <c r="E57" s="648"/>
    </row>
    <row r="58" spans="1:7" ht="14.25" customHeight="1" thickBot="1" x14ac:dyDescent="0.3">
      <c r="A58" s="649"/>
      <c r="B58" s="650"/>
      <c r="D58" s="651"/>
      <c r="F58" s="652"/>
      <c r="G58" s="652"/>
    </row>
    <row r="59" spans="1:7" ht="15" customHeight="1" x14ac:dyDescent="0.3">
      <c r="B59" s="653" t="s">
        <v>26</v>
      </c>
      <c r="C59" s="653"/>
      <c r="E59" s="654" t="s">
        <v>27</v>
      </c>
      <c r="F59" s="655"/>
      <c r="G59" s="654" t="s">
        <v>28</v>
      </c>
    </row>
    <row r="60" spans="1:7" ht="15" customHeight="1" x14ac:dyDescent="0.3">
      <c r="A60" s="656" t="s">
        <v>29</v>
      </c>
      <c r="B60" s="657"/>
      <c r="C60" s="657"/>
      <c r="E60" s="657"/>
      <c r="G60" s="657"/>
    </row>
    <row r="61" spans="1:7" ht="15" customHeight="1" x14ac:dyDescent="0.3">
      <c r="A61" s="656" t="s">
        <v>30</v>
      </c>
      <c r="B61" s="658"/>
      <c r="C61" s="658"/>
      <c r="E61" s="658"/>
      <c r="G61" s="6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29" sqref="B29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2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17" t="s">
        <v>0</v>
      </c>
      <c r="B15" s="617"/>
      <c r="C15" s="617"/>
      <c r="D15" s="617"/>
      <c r="E15" s="617"/>
    </row>
    <row r="16" spans="1:6" ht="16.5" customHeight="1" x14ac:dyDescent="0.3">
      <c r="A16" s="618" t="s">
        <v>1</v>
      </c>
      <c r="B16" s="619" t="s">
        <v>2</v>
      </c>
    </row>
    <row r="17" spans="1:6" ht="16.5" customHeight="1" x14ac:dyDescent="0.3">
      <c r="A17" s="620" t="s">
        <v>3</v>
      </c>
      <c r="B17" s="620" t="str">
        <f>[1]Uniformity!C14</f>
        <v>AVIRODAY - EM TABLETS</v>
      </c>
      <c r="D17" s="621"/>
      <c r="E17" s="622"/>
    </row>
    <row r="18" spans="1:6" ht="16.5" customHeight="1" x14ac:dyDescent="0.3">
      <c r="A18" s="623" t="s">
        <v>4</v>
      </c>
      <c r="B18" s="620" t="str">
        <f>'[1]Efavirenz 5'!B26:C26</f>
        <v>EFAVIRENZ</v>
      </c>
      <c r="C18" s="622"/>
      <c r="D18" s="622"/>
      <c r="E18" s="622"/>
    </row>
    <row r="19" spans="1:6" ht="16.5" customHeight="1" x14ac:dyDescent="0.3">
      <c r="A19" s="623" t="s">
        <v>6</v>
      </c>
      <c r="B19" s="624">
        <v>99.3</v>
      </c>
      <c r="C19" s="622"/>
      <c r="D19" s="622"/>
      <c r="E19" s="622"/>
    </row>
    <row r="20" spans="1:6" ht="16.5" customHeight="1" x14ac:dyDescent="0.3">
      <c r="A20" s="620" t="s">
        <v>8</v>
      </c>
      <c r="B20" s="624">
        <f>EFAVIRENZ!D43</f>
        <v>30.55</v>
      </c>
      <c r="C20" s="622"/>
      <c r="D20" s="622"/>
      <c r="E20" s="622"/>
    </row>
    <row r="21" spans="1:6" ht="16.5" customHeight="1" x14ac:dyDescent="0.3">
      <c r="A21" s="620" t="s">
        <v>10</v>
      </c>
      <c r="B21" s="625">
        <f>B20/EFAVIRENZ!B45</f>
        <v>0.30549999999999999</v>
      </c>
      <c r="C21" s="622"/>
      <c r="D21" s="622"/>
      <c r="E21" s="622"/>
    </row>
    <row r="22" spans="1:6" ht="15.75" customHeight="1" x14ac:dyDescent="0.25">
      <c r="A22" s="622"/>
      <c r="B22" s="622"/>
      <c r="C22" s="622"/>
      <c r="D22" s="622"/>
      <c r="E22" s="622"/>
    </row>
    <row r="23" spans="1:6" ht="16.5" customHeight="1" x14ac:dyDescent="0.3">
      <c r="A23" s="626" t="s">
        <v>13</v>
      </c>
      <c r="B23" s="627" t="s">
        <v>14</v>
      </c>
      <c r="C23" s="626" t="s">
        <v>15</v>
      </c>
      <c r="D23" s="626" t="s">
        <v>16</v>
      </c>
      <c r="E23" s="626" t="s">
        <v>17</v>
      </c>
      <c r="F23" s="626" t="s">
        <v>125</v>
      </c>
    </row>
    <row r="24" spans="1:6" ht="16.5" customHeight="1" x14ac:dyDescent="0.3">
      <c r="A24" s="628">
        <v>1</v>
      </c>
      <c r="B24" s="629">
        <v>48516899</v>
      </c>
      <c r="C24" s="629">
        <v>151582.39999999999</v>
      </c>
      <c r="D24" s="630">
        <v>1.1000000000000001</v>
      </c>
      <c r="E24" s="631">
        <v>17.100000000000001</v>
      </c>
      <c r="F24" s="631">
        <v>7.7</v>
      </c>
    </row>
    <row r="25" spans="1:6" ht="16.5" customHeight="1" x14ac:dyDescent="0.3">
      <c r="A25" s="628">
        <v>2</v>
      </c>
      <c r="B25" s="629">
        <v>48503487</v>
      </c>
      <c r="C25" s="629">
        <v>151640.29999999999</v>
      </c>
      <c r="D25" s="630">
        <v>1.1000000000000001</v>
      </c>
      <c r="E25" s="630">
        <v>17.100000000000001</v>
      </c>
      <c r="F25" s="630">
        <v>7.7</v>
      </c>
    </row>
    <row r="26" spans="1:6" ht="16.5" customHeight="1" x14ac:dyDescent="0.3">
      <c r="A26" s="628">
        <v>3</v>
      </c>
      <c r="B26" s="629">
        <v>49699411</v>
      </c>
      <c r="C26" s="629">
        <v>152357.79999999999</v>
      </c>
      <c r="D26" s="630">
        <v>1.1000000000000001</v>
      </c>
      <c r="E26" s="630">
        <v>17.100000000000001</v>
      </c>
      <c r="F26" s="630">
        <v>7.8</v>
      </c>
    </row>
    <row r="27" spans="1:6" ht="16.5" customHeight="1" x14ac:dyDescent="0.3">
      <c r="A27" s="628">
        <v>4</v>
      </c>
      <c r="B27" s="629">
        <v>49117147</v>
      </c>
      <c r="C27" s="629">
        <v>152911.20000000001</v>
      </c>
      <c r="D27" s="630">
        <v>1.1000000000000001</v>
      </c>
      <c r="E27" s="630">
        <v>17.100000000000001</v>
      </c>
      <c r="F27" s="630">
        <v>7.7</v>
      </c>
    </row>
    <row r="28" spans="1:6" ht="16.5" customHeight="1" x14ac:dyDescent="0.3">
      <c r="A28" s="628">
        <v>5</v>
      </c>
      <c r="B28" s="629">
        <v>49736330</v>
      </c>
      <c r="C28" s="629">
        <v>152710.70000000001</v>
      </c>
      <c r="D28" s="630">
        <v>1.1000000000000001</v>
      </c>
      <c r="E28" s="630">
        <v>17.100000000000001</v>
      </c>
      <c r="F28" s="630">
        <v>7.7</v>
      </c>
    </row>
    <row r="29" spans="1:6" ht="16.5" customHeight="1" x14ac:dyDescent="0.3">
      <c r="A29" s="628">
        <v>6</v>
      </c>
      <c r="B29" s="632">
        <v>49043634</v>
      </c>
      <c r="C29" s="632">
        <v>152993.79999999999</v>
      </c>
      <c r="D29" s="633">
        <v>1.1000000000000001</v>
      </c>
      <c r="E29" s="633">
        <v>17.100000000000001</v>
      </c>
      <c r="F29" s="633">
        <v>7.7</v>
      </c>
    </row>
    <row r="30" spans="1:6" ht="16.5" customHeight="1" x14ac:dyDescent="0.3">
      <c r="A30" s="634" t="s">
        <v>18</v>
      </c>
      <c r="B30" s="635">
        <f>AVERAGE(B24:B29)</f>
        <v>49102818</v>
      </c>
      <c r="C30" s="636">
        <f>AVERAGE(C24:C29)</f>
        <v>152366.03333333333</v>
      </c>
      <c r="D30" s="637">
        <f>AVERAGE(D24:D29)</f>
        <v>1.0999999999999999</v>
      </c>
      <c r="E30" s="637">
        <f>AVERAGE(E24:E29)</f>
        <v>17.099999999999998</v>
      </c>
      <c r="F30" s="637">
        <f>AVERAGE(F24:F29)</f>
        <v>7.7166666666666677</v>
      </c>
    </row>
    <row r="31" spans="1:6" ht="16.5" customHeight="1" x14ac:dyDescent="0.3">
      <c r="A31" s="638" t="s">
        <v>19</v>
      </c>
      <c r="B31" s="639">
        <f>(STDEV(B24:B29)/B30)</f>
        <v>1.1017932683968279E-2</v>
      </c>
      <c r="C31" s="640"/>
      <c r="D31" s="640"/>
      <c r="E31" s="641"/>
      <c r="F31" s="641"/>
    </row>
    <row r="32" spans="1:6" s="615" customFormat="1" ht="16.5" customHeight="1" x14ac:dyDescent="0.3">
      <c r="A32" s="642" t="s">
        <v>20</v>
      </c>
      <c r="B32" s="643">
        <f>COUNT(B24:B29)</f>
        <v>6</v>
      </c>
      <c r="C32" s="644"/>
      <c r="D32" s="645"/>
      <c r="E32" s="646"/>
      <c r="F32" s="646"/>
    </row>
    <row r="33" spans="1:6" s="615" customFormat="1" ht="15.75" customHeight="1" x14ac:dyDescent="0.25">
      <c r="A33" s="622"/>
      <c r="B33" s="622"/>
      <c r="C33" s="622"/>
      <c r="D33" s="622"/>
      <c r="E33" s="622"/>
    </row>
    <row r="34" spans="1:6" s="615" customFormat="1" ht="16.5" customHeight="1" x14ac:dyDescent="0.3">
      <c r="A34" s="623" t="s">
        <v>21</v>
      </c>
      <c r="B34" s="647" t="s">
        <v>22</v>
      </c>
      <c r="C34" s="648"/>
      <c r="D34" s="648"/>
      <c r="E34" s="648"/>
    </row>
    <row r="35" spans="1:6" ht="16.5" customHeight="1" x14ac:dyDescent="0.3">
      <c r="A35" s="623"/>
      <c r="B35" s="647" t="s">
        <v>23</v>
      </c>
      <c r="C35" s="648"/>
      <c r="D35" s="648"/>
      <c r="E35" s="648"/>
    </row>
    <row r="36" spans="1:6" ht="16.5" customHeight="1" x14ac:dyDescent="0.3">
      <c r="A36" s="623"/>
      <c r="B36" s="647" t="s">
        <v>24</v>
      </c>
      <c r="C36" s="648"/>
      <c r="D36" s="648"/>
      <c r="E36" s="648"/>
    </row>
    <row r="37" spans="1:6" ht="15.75" customHeight="1" x14ac:dyDescent="0.25">
      <c r="A37" s="622"/>
      <c r="B37" s="622"/>
      <c r="C37" s="622"/>
      <c r="D37" s="622"/>
      <c r="E37" s="622"/>
    </row>
    <row r="38" spans="1:6" ht="16.5" customHeight="1" x14ac:dyDescent="0.3">
      <c r="A38" s="618" t="s">
        <v>1</v>
      </c>
      <c r="B38" s="619" t="s">
        <v>25</v>
      </c>
    </row>
    <row r="39" spans="1:6" ht="16.5" customHeight="1" x14ac:dyDescent="0.3">
      <c r="A39" s="623" t="s">
        <v>4</v>
      </c>
      <c r="B39" s="620" t="str">
        <f>B18</f>
        <v>EFAVIRENZ</v>
      </c>
      <c r="C39" s="622"/>
      <c r="D39" s="622"/>
      <c r="E39" s="622"/>
    </row>
    <row r="40" spans="1:6" ht="16.5" customHeight="1" x14ac:dyDescent="0.3">
      <c r="A40" s="623" t="s">
        <v>6</v>
      </c>
      <c r="B40" s="624">
        <f>B19</f>
        <v>99.3</v>
      </c>
      <c r="C40" s="622"/>
      <c r="D40" s="622"/>
      <c r="E40" s="622"/>
    </row>
    <row r="41" spans="1:6" ht="16.5" customHeight="1" x14ac:dyDescent="0.3">
      <c r="A41" s="620" t="s">
        <v>8</v>
      </c>
      <c r="B41" s="624">
        <v>29.71</v>
      </c>
      <c r="C41" s="622"/>
      <c r="D41" s="622"/>
      <c r="E41" s="622"/>
    </row>
    <row r="42" spans="1:6" ht="16.5" customHeight="1" x14ac:dyDescent="0.3">
      <c r="A42" s="620" t="s">
        <v>10</v>
      </c>
      <c r="B42" s="625">
        <v>0.06</v>
      </c>
      <c r="C42" s="622"/>
      <c r="D42" s="622"/>
      <c r="E42" s="622"/>
    </row>
    <row r="43" spans="1:6" ht="15.75" customHeight="1" x14ac:dyDescent="0.25">
      <c r="A43" s="622"/>
      <c r="B43" s="622"/>
      <c r="C43" s="622"/>
      <c r="D43" s="622"/>
      <c r="E43" s="622"/>
    </row>
    <row r="44" spans="1:6" ht="16.5" customHeight="1" x14ac:dyDescent="0.3">
      <c r="A44" s="626" t="s">
        <v>13</v>
      </c>
      <c r="B44" s="627" t="s">
        <v>14</v>
      </c>
      <c r="C44" s="626" t="s">
        <v>15</v>
      </c>
      <c r="D44" s="626" t="s">
        <v>16</v>
      </c>
      <c r="E44" s="626" t="s">
        <v>17</v>
      </c>
      <c r="F44" s="626" t="s">
        <v>125</v>
      </c>
    </row>
    <row r="45" spans="1:6" ht="16.5" customHeight="1" x14ac:dyDescent="0.3">
      <c r="A45" s="628">
        <v>1</v>
      </c>
      <c r="B45" s="629">
        <v>12127533</v>
      </c>
      <c r="C45" s="629">
        <v>375305.3</v>
      </c>
      <c r="D45" s="630">
        <v>1</v>
      </c>
      <c r="E45" s="631">
        <v>21</v>
      </c>
      <c r="F45" s="631">
        <v>35.1</v>
      </c>
    </row>
    <row r="46" spans="1:6" ht="16.5" customHeight="1" x14ac:dyDescent="0.3">
      <c r="A46" s="628">
        <v>2</v>
      </c>
      <c r="B46" s="629">
        <v>12003141</v>
      </c>
      <c r="C46" s="629">
        <v>376281.7</v>
      </c>
      <c r="D46" s="630">
        <v>1</v>
      </c>
      <c r="E46" s="630">
        <v>21</v>
      </c>
      <c r="F46" s="630">
        <v>35</v>
      </c>
    </row>
    <row r="47" spans="1:6" ht="16.5" customHeight="1" x14ac:dyDescent="0.3">
      <c r="A47" s="628">
        <v>3</v>
      </c>
      <c r="B47" s="629">
        <v>11875422</v>
      </c>
      <c r="C47" s="629">
        <v>378452.3</v>
      </c>
      <c r="D47" s="630">
        <v>1</v>
      </c>
      <c r="E47" s="630">
        <v>21</v>
      </c>
      <c r="F47" s="630">
        <v>35</v>
      </c>
    </row>
    <row r="48" spans="1:6" ht="16.5" customHeight="1" x14ac:dyDescent="0.3">
      <c r="A48" s="628">
        <v>4</v>
      </c>
      <c r="B48" s="629">
        <v>11918128</v>
      </c>
      <c r="C48" s="629">
        <v>377704.3</v>
      </c>
      <c r="D48" s="630">
        <v>1</v>
      </c>
      <c r="E48" s="630">
        <v>21</v>
      </c>
      <c r="F48" s="630">
        <v>34.9</v>
      </c>
    </row>
    <row r="49" spans="1:7" ht="16.5" customHeight="1" x14ac:dyDescent="0.3">
      <c r="A49" s="628">
        <v>5</v>
      </c>
      <c r="B49" s="629">
        <v>11884508</v>
      </c>
      <c r="C49" s="629">
        <v>379474.2</v>
      </c>
      <c r="D49" s="630">
        <v>1</v>
      </c>
      <c r="E49" s="630">
        <v>21</v>
      </c>
      <c r="F49" s="630">
        <v>34.9</v>
      </c>
    </row>
    <row r="50" spans="1:7" ht="16.5" customHeight="1" x14ac:dyDescent="0.3">
      <c r="A50" s="628">
        <v>6</v>
      </c>
      <c r="B50" s="632">
        <v>11889954</v>
      </c>
      <c r="C50" s="632">
        <v>381370.6</v>
      </c>
      <c r="D50" s="633">
        <v>1</v>
      </c>
      <c r="E50" s="633">
        <v>21</v>
      </c>
      <c r="F50" s="633">
        <v>35.1</v>
      </c>
    </row>
    <row r="51" spans="1:7" ht="16.5" customHeight="1" x14ac:dyDescent="0.3">
      <c r="A51" s="634" t="s">
        <v>18</v>
      </c>
      <c r="B51" s="635">
        <f>AVERAGE(B45:B50)</f>
        <v>11949781</v>
      </c>
      <c r="C51" s="636">
        <f>AVERAGE(C45:C50)</f>
        <v>378098.06666666665</v>
      </c>
      <c r="D51" s="637">
        <f>AVERAGE(D45:D50)</f>
        <v>1</v>
      </c>
      <c r="E51" s="637">
        <f>AVERAGE(E45:E50)</f>
        <v>21</v>
      </c>
      <c r="F51" s="637">
        <f>AVERAGE(F45:F50)</f>
        <v>35</v>
      </c>
    </row>
    <row r="52" spans="1:7" ht="16.5" customHeight="1" x14ac:dyDescent="0.3">
      <c r="A52" s="638" t="s">
        <v>19</v>
      </c>
      <c r="B52" s="639">
        <f>(STDEV(B45:B50)/B51)</f>
        <v>8.2685158881917811E-3</v>
      </c>
      <c r="C52" s="640"/>
      <c r="D52" s="640"/>
      <c r="E52" s="641"/>
      <c r="F52" s="641"/>
    </row>
    <row r="53" spans="1:7" s="615" customFormat="1" ht="16.5" customHeight="1" x14ac:dyDescent="0.3">
      <c r="A53" s="642" t="s">
        <v>20</v>
      </c>
      <c r="B53" s="643">
        <f>COUNT(B45:B50)</f>
        <v>6</v>
      </c>
      <c r="C53" s="644"/>
      <c r="D53" s="645"/>
      <c r="E53" s="646"/>
      <c r="F53" s="646"/>
    </row>
    <row r="54" spans="1:7" s="615" customFormat="1" ht="15.75" customHeight="1" x14ac:dyDescent="0.25">
      <c r="A54" s="622"/>
      <c r="B54" s="622"/>
      <c r="C54" s="622"/>
      <c r="D54" s="622"/>
      <c r="E54" s="622"/>
    </row>
    <row r="55" spans="1:7" s="615" customFormat="1" ht="16.5" customHeight="1" x14ac:dyDescent="0.3">
      <c r="A55" s="623" t="s">
        <v>21</v>
      </c>
      <c r="B55" s="647" t="s">
        <v>22</v>
      </c>
      <c r="C55" s="648"/>
      <c r="D55" s="648"/>
      <c r="E55" s="648"/>
    </row>
    <row r="56" spans="1:7" ht="16.5" customHeight="1" x14ac:dyDescent="0.3">
      <c r="A56" s="623"/>
      <c r="B56" s="647" t="s">
        <v>23</v>
      </c>
      <c r="C56" s="648"/>
      <c r="D56" s="648"/>
      <c r="E56" s="648"/>
    </row>
    <row r="57" spans="1:7" ht="16.5" customHeight="1" x14ac:dyDescent="0.3">
      <c r="A57" s="623"/>
      <c r="B57" s="647" t="s">
        <v>24</v>
      </c>
      <c r="C57" s="648"/>
      <c r="D57" s="648"/>
      <c r="E57" s="648"/>
    </row>
    <row r="58" spans="1:7" ht="14.25" customHeight="1" thickBot="1" x14ac:dyDescent="0.3">
      <c r="A58" s="649"/>
      <c r="B58" s="650"/>
      <c r="D58" s="651"/>
      <c r="F58" s="652"/>
      <c r="G58" s="652"/>
    </row>
    <row r="59" spans="1:7" ht="15" customHeight="1" x14ac:dyDescent="0.3">
      <c r="B59" s="653" t="s">
        <v>26</v>
      </c>
      <c r="C59" s="653"/>
      <c r="E59" s="654" t="s">
        <v>27</v>
      </c>
      <c r="F59" s="655"/>
      <c r="G59" s="654" t="s">
        <v>28</v>
      </c>
    </row>
    <row r="60" spans="1:7" ht="15" customHeight="1" x14ac:dyDescent="0.3">
      <c r="A60" s="656" t="s">
        <v>29</v>
      </c>
      <c r="B60" s="657"/>
      <c r="C60" s="657"/>
      <c r="E60" s="657"/>
      <c r="G60" s="657"/>
    </row>
    <row r="61" spans="1:7" ht="15" customHeight="1" x14ac:dyDescent="0.3">
      <c r="A61" s="656" t="s">
        <v>30</v>
      </c>
      <c r="B61" s="658"/>
      <c r="C61" s="658"/>
      <c r="E61" s="658"/>
      <c r="G61" s="65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70" t="s">
        <v>31</v>
      </c>
      <c r="B11" s="571"/>
      <c r="C11" s="571"/>
      <c r="D11" s="571"/>
      <c r="E11" s="571"/>
      <c r="F11" s="572"/>
      <c r="G11" s="43"/>
    </row>
    <row r="12" spans="1:7" ht="16.5" customHeight="1" x14ac:dyDescent="0.3">
      <c r="A12" s="569" t="s">
        <v>32</v>
      </c>
      <c r="B12" s="569"/>
      <c r="C12" s="569"/>
      <c r="D12" s="569"/>
      <c r="E12" s="569"/>
      <c r="F12" s="569"/>
      <c r="G12" s="42"/>
    </row>
    <row r="14" spans="1:7" ht="16.5" customHeight="1" x14ac:dyDescent="0.3">
      <c r="A14" s="574" t="s">
        <v>33</v>
      </c>
      <c r="B14" s="574"/>
      <c r="C14" s="12" t="s">
        <v>5</v>
      </c>
    </row>
    <row r="15" spans="1:7" ht="16.5" customHeight="1" x14ac:dyDescent="0.3">
      <c r="A15" s="574" t="s">
        <v>34</v>
      </c>
      <c r="B15" s="574"/>
      <c r="C15" s="12" t="s">
        <v>7</v>
      </c>
    </row>
    <row r="16" spans="1:7" ht="16.5" customHeight="1" x14ac:dyDescent="0.3">
      <c r="A16" s="574" t="s">
        <v>35</v>
      </c>
      <c r="B16" s="574"/>
      <c r="C16" s="12" t="s">
        <v>9</v>
      </c>
    </row>
    <row r="17" spans="1:5" ht="16.5" customHeight="1" x14ac:dyDescent="0.3">
      <c r="A17" s="574" t="s">
        <v>36</v>
      </c>
      <c r="B17" s="574"/>
      <c r="C17" s="12" t="s">
        <v>11</v>
      </c>
    </row>
    <row r="18" spans="1:5" ht="16.5" customHeight="1" x14ac:dyDescent="0.3">
      <c r="A18" s="574" t="s">
        <v>37</v>
      </c>
      <c r="B18" s="574"/>
      <c r="C18" s="49" t="s">
        <v>12</v>
      </c>
    </row>
    <row r="19" spans="1:5" ht="16.5" customHeight="1" x14ac:dyDescent="0.3">
      <c r="A19" s="574" t="s">
        <v>38</v>
      </c>
      <c r="B19" s="574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569" t="s">
        <v>1</v>
      </c>
      <c r="B21" s="569"/>
      <c r="C21" s="11" t="s">
        <v>39</v>
      </c>
      <c r="D21" s="18"/>
    </row>
    <row r="22" spans="1:5" ht="15.75" customHeight="1" x14ac:dyDescent="0.3">
      <c r="A22" s="573"/>
      <c r="B22" s="573"/>
      <c r="C22" s="9"/>
      <c r="D22" s="573"/>
      <c r="E22" s="573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1488.43</v>
      </c>
      <c r="D24" s="39">
        <f t="shared" ref="D24:D43" si="0">(C24-$C$46)/$C$46</f>
        <v>2.6483691293724353E-3</v>
      </c>
      <c r="E24" s="5"/>
    </row>
    <row r="25" spans="1:5" ht="15.75" customHeight="1" x14ac:dyDescent="0.3">
      <c r="C25" s="47">
        <v>1470.74</v>
      </c>
      <c r="D25" s="40">
        <f t="shared" si="0"/>
        <v>-9.268113103516348E-3</v>
      </c>
      <c r="E25" s="5"/>
    </row>
    <row r="26" spans="1:5" ht="15.75" customHeight="1" x14ac:dyDescent="0.3">
      <c r="C26" s="47">
        <v>1482.11</v>
      </c>
      <c r="D26" s="40">
        <f t="shared" si="0"/>
        <v>-1.608960871297934E-3</v>
      </c>
      <c r="E26" s="5"/>
    </row>
    <row r="27" spans="1:5" ht="15.75" customHeight="1" x14ac:dyDescent="0.3">
      <c r="C27" s="47">
        <v>1466.64</v>
      </c>
      <c r="D27" s="40">
        <f t="shared" si="0"/>
        <v>-1.2029988578634651E-2</v>
      </c>
      <c r="E27" s="5"/>
    </row>
    <row r="28" spans="1:5" ht="15.75" customHeight="1" x14ac:dyDescent="0.3">
      <c r="C28" s="47">
        <v>1497.94</v>
      </c>
      <c r="D28" s="40">
        <f t="shared" si="0"/>
        <v>9.0545729753177089E-3</v>
      </c>
      <c r="E28" s="5"/>
    </row>
    <row r="29" spans="1:5" ht="15.75" customHeight="1" x14ac:dyDescent="0.3">
      <c r="C29" s="47">
        <v>1484.08</v>
      </c>
      <c r="D29" s="40">
        <f t="shared" si="0"/>
        <v>-2.8191338691177471E-4</v>
      </c>
      <c r="E29" s="5"/>
    </row>
    <row r="30" spans="1:5" ht="15.75" customHeight="1" x14ac:dyDescent="0.3">
      <c r="C30" s="47">
        <v>1470.35</v>
      </c>
      <c r="D30" s="40">
        <f t="shared" si="0"/>
        <v>-9.5308280877349928E-3</v>
      </c>
      <c r="E30" s="5"/>
    </row>
    <row r="31" spans="1:5" ht="15.75" customHeight="1" x14ac:dyDescent="0.3">
      <c r="C31" s="47">
        <v>1486.02</v>
      </c>
      <c r="D31" s="40">
        <f t="shared" si="0"/>
        <v>1.0249252525345125E-3</v>
      </c>
      <c r="E31" s="5"/>
    </row>
    <row r="32" spans="1:5" ht="15.75" customHeight="1" x14ac:dyDescent="0.3">
      <c r="C32" s="47">
        <v>1441.86</v>
      </c>
      <c r="D32" s="40">
        <f t="shared" si="0"/>
        <v>-2.8722494498984313E-2</v>
      </c>
      <c r="E32" s="5"/>
    </row>
    <row r="33" spans="1:7" ht="15.75" customHeight="1" x14ac:dyDescent="0.3">
      <c r="C33" s="47">
        <v>1494.51</v>
      </c>
      <c r="D33" s="40">
        <f t="shared" si="0"/>
        <v>6.7440283705235216E-3</v>
      </c>
      <c r="E33" s="5"/>
    </row>
    <row r="34" spans="1:7" ht="15.75" customHeight="1" x14ac:dyDescent="0.3">
      <c r="C34" s="47">
        <v>1487.51</v>
      </c>
      <c r="D34" s="40">
        <f t="shared" si="0"/>
        <v>2.0286312178824117E-3</v>
      </c>
      <c r="E34" s="5"/>
    </row>
    <row r="35" spans="1:7" ht="15.75" customHeight="1" x14ac:dyDescent="0.3">
      <c r="C35" s="47">
        <v>1482.07</v>
      </c>
      <c r="D35" s="40">
        <f t="shared" si="0"/>
        <v>-1.63590599788443E-3</v>
      </c>
      <c r="E35" s="5"/>
    </row>
    <row r="36" spans="1:7" ht="15.75" customHeight="1" x14ac:dyDescent="0.3">
      <c r="C36" s="47">
        <v>1493.09</v>
      </c>
      <c r="D36" s="40">
        <f t="shared" si="0"/>
        <v>5.7874763767019905E-3</v>
      </c>
      <c r="E36" s="5"/>
    </row>
    <row r="37" spans="1:7" ht="15.75" customHeight="1" x14ac:dyDescent="0.3">
      <c r="C37" s="47">
        <v>1499.9</v>
      </c>
      <c r="D37" s="40">
        <f t="shared" si="0"/>
        <v>1.0374884178057243E-2</v>
      </c>
      <c r="E37" s="5"/>
    </row>
    <row r="38" spans="1:7" ht="15.75" customHeight="1" x14ac:dyDescent="0.3">
      <c r="C38" s="47">
        <v>1497.09</v>
      </c>
      <c r="D38" s="40">
        <f t="shared" si="0"/>
        <v>8.4819890353540536E-3</v>
      </c>
      <c r="E38" s="5"/>
    </row>
    <row r="39" spans="1:7" ht="15.75" customHeight="1" x14ac:dyDescent="0.3">
      <c r="C39" s="47">
        <v>1473.15</v>
      </c>
      <c r="D39" s="40">
        <f t="shared" si="0"/>
        <v>-7.6446692266784258E-3</v>
      </c>
      <c r="E39" s="5"/>
    </row>
    <row r="40" spans="1:7" ht="15.75" customHeight="1" x14ac:dyDescent="0.3">
      <c r="C40" s="47">
        <v>1482.03</v>
      </c>
      <c r="D40" s="40">
        <f t="shared" si="0"/>
        <v>-1.6628511244709261E-3</v>
      </c>
      <c r="E40" s="5"/>
    </row>
    <row r="41" spans="1:7" ht="15.75" customHeight="1" x14ac:dyDescent="0.3">
      <c r="C41" s="47">
        <v>1494.56</v>
      </c>
      <c r="D41" s="40">
        <f t="shared" si="0"/>
        <v>6.7777097787566415E-3</v>
      </c>
      <c r="E41" s="5"/>
    </row>
    <row r="42" spans="1:7" ht="15.75" customHeight="1" x14ac:dyDescent="0.3">
      <c r="C42" s="47">
        <v>1499.92</v>
      </c>
      <c r="D42" s="40">
        <f t="shared" si="0"/>
        <v>1.0388356741350491E-2</v>
      </c>
      <c r="E42" s="5"/>
    </row>
    <row r="43" spans="1:7" ht="16.5" customHeight="1" x14ac:dyDescent="0.3">
      <c r="C43" s="48">
        <v>1497.97</v>
      </c>
      <c r="D43" s="41">
        <f t="shared" si="0"/>
        <v>9.0747818202575794E-3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29689.970000000008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1484.4985000000004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67">
        <f>C46</f>
        <v>1484.4985000000004</v>
      </c>
      <c r="C49" s="45">
        <f>-IF(C46&lt;=80,10%,IF(C46&lt;250,7.5%,5%))</f>
        <v>-0.05</v>
      </c>
      <c r="D49" s="33">
        <f>IF(C46&lt;=80,C46*0.9,IF(C46&lt;250,C46*0.925,C46*0.95))</f>
        <v>1410.2735750000004</v>
      </c>
    </row>
    <row r="50" spans="1:6" ht="17.25" customHeight="1" x14ac:dyDescent="0.3">
      <c r="B50" s="568"/>
      <c r="C50" s="46">
        <f>IF(C46&lt;=80, 10%, IF(C46&lt;250, 7.5%, 5%))</f>
        <v>0.05</v>
      </c>
      <c r="D50" s="33">
        <f>IF(C46&lt;=80, C46*1.1, IF(C46&lt;250, C46*1.075, C46*1.05))</f>
        <v>1558.7234250000004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2" zoomScale="60" zoomScaleNormal="4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75" t="s">
        <v>45</v>
      </c>
      <c r="B1" s="575"/>
      <c r="C1" s="575"/>
      <c r="D1" s="575"/>
      <c r="E1" s="575"/>
      <c r="F1" s="575"/>
      <c r="G1" s="575"/>
      <c r="H1" s="575"/>
      <c r="I1" s="575"/>
    </row>
    <row r="2" spans="1:9" ht="18.75" customHeight="1" x14ac:dyDescent="0.25">
      <c r="A2" s="575"/>
      <c r="B2" s="575"/>
      <c r="C2" s="575"/>
      <c r="D2" s="575"/>
      <c r="E2" s="575"/>
      <c r="F2" s="575"/>
      <c r="G2" s="575"/>
      <c r="H2" s="575"/>
      <c r="I2" s="575"/>
    </row>
    <row r="3" spans="1:9" ht="18.75" customHeight="1" x14ac:dyDescent="0.25">
      <c r="A3" s="575"/>
      <c r="B3" s="575"/>
      <c r="C3" s="575"/>
      <c r="D3" s="575"/>
      <c r="E3" s="575"/>
      <c r="F3" s="575"/>
      <c r="G3" s="575"/>
      <c r="H3" s="575"/>
      <c r="I3" s="575"/>
    </row>
    <row r="4" spans="1:9" ht="18.75" customHeight="1" x14ac:dyDescent="0.25">
      <c r="A4" s="575"/>
      <c r="B4" s="575"/>
      <c r="C4" s="575"/>
      <c r="D4" s="575"/>
      <c r="E4" s="575"/>
      <c r="F4" s="575"/>
      <c r="G4" s="575"/>
      <c r="H4" s="575"/>
      <c r="I4" s="575"/>
    </row>
    <row r="5" spans="1:9" ht="18.75" customHeight="1" x14ac:dyDescent="0.25">
      <c r="A5" s="575"/>
      <c r="B5" s="575"/>
      <c r="C5" s="575"/>
      <c r="D5" s="575"/>
      <c r="E5" s="575"/>
      <c r="F5" s="575"/>
      <c r="G5" s="575"/>
      <c r="H5" s="575"/>
      <c r="I5" s="575"/>
    </row>
    <row r="6" spans="1:9" ht="18.75" customHeight="1" x14ac:dyDescent="0.25">
      <c r="A6" s="575"/>
      <c r="B6" s="575"/>
      <c r="C6" s="575"/>
      <c r="D6" s="575"/>
      <c r="E6" s="575"/>
      <c r="F6" s="575"/>
      <c r="G6" s="575"/>
      <c r="H6" s="575"/>
      <c r="I6" s="575"/>
    </row>
    <row r="7" spans="1:9" ht="18.75" customHeight="1" x14ac:dyDescent="0.25">
      <c r="A7" s="575"/>
      <c r="B7" s="575"/>
      <c r="C7" s="575"/>
      <c r="D7" s="575"/>
      <c r="E7" s="575"/>
      <c r="F7" s="575"/>
      <c r="G7" s="575"/>
      <c r="H7" s="575"/>
      <c r="I7" s="575"/>
    </row>
    <row r="8" spans="1:9" x14ac:dyDescent="0.25">
      <c r="A8" s="576" t="s">
        <v>46</v>
      </c>
      <c r="B8" s="576"/>
      <c r="C8" s="576"/>
      <c r="D8" s="576"/>
      <c r="E8" s="576"/>
      <c r="F8" s="576"/>
      <c r="G8" s="576"/>
      <c r="H8" s="576"/>
      <c r="I8" s="576"/>
    </row>
    <row r="9" spans="1:9" x14ac:dyDescent="0.25">
      <c r="A9" s="576"/>
      <c r="B9" s="576"/>
      <c r="C9" s="576"/>
      <c r="D9" s="576"/>
      <c r="E9" s="576"/>
      <c r="F9" s="576"/>
      <c r="G9" s="576"/>
      <c r="H9" s="576"/>
      <c r="I9" s="576"/>
    </row>
    <row r="10" spans="1:9" x14ac:dyDescent="0.25">
      <c r="A10" s="576"/>
      <c r="B10" s="576"/>
      <c r="C10" s="576"/>
      <c r="D10" s="576"/>
      <c r="E10" s="576"/>
      <c r="F10" s="576"/>
      <c r="G10" s="576"/>
      <c r="H10" s="576"/>
      <c r="I10" s="576"/>
    </row>
    <row r="11" spans="1:9" x14ac:dyDescent="0.25">
      <c r="A11" s="576"/>
      <c r="B11" s="576"/>
      <c r="C11" s="576"/>
      <c r="D11" s="576"/>
      <c r="E11" s="576"/>
      <c r="F11" s="576"/>
      <c r="G11" s="576"/>
      <c r="H11" s="576"/>
      <c r="I11" s="576"/>
    </row>
    <row r="12" spans="1:9" x14ac:dyDescent="0.25">
      <c r="A12" s="576"/>
      <c r="B12" s="576"/>
      <c r="C12" s="576"/>
      <c r="D12" s="576"/>
      <c r="E12" s="576"/>
      <c r="F12" s="576"/>
      <c r="G12" s="576"/>
      <c r="H12" s="576"/>
      <c r="I12" s="576"/>
    </row>
    <row r="13" spans="1:9" x14ac:dyDescent="0.25">
      <c r="A13" s="576"/>
      <c r="B13" s="576"/>
      <c r="C13" s="576"/>
      <c r="D13" s="576"/>
      <c r="E13" s="576"/>
      <c r="F13" s="576"/>
      <c r="G13" s="576"/>
      <c r="H13" s="576"/>
      <c r="I13" s="576"/>
    </row>
    <row r="14" spans="1:9" x14ac:dyDescent="0.25">
      <c r="A14" s="576"/>
      <c r="B14" s="576"/>
      <c r="C14" s="576"/>
      <c r="D14" s="576"/>
      <c r="E14" s="576"/>
      <c r="F14" s="576"/>
      <c r="G14" s="576"/>
      <c r="H14" s="576"/>
      <c r="I14" s="576"/>
    </row>
    <row r="15" spans="1:9" ht="19.5" customHeight="1" x14ac:dyDescent="0.3">
      <c r="A15" s="222"/>
    </row>
    <row r="16" spans="1:9" ht="19.5" customHeight="1" x14ac:dyDescent="0.3">
      <c r="A16" s="609" t="s">
        <v>31</v>
      </c>
      <c r="B16" s="610"/>
      <c r="C16" s="610"/>
      <c r="D16" s="610"/>
      <c r="E16" s="610"/>
      <c r="F16" s="610"/>
      <c r="G16" s="610"/>
      <c r="H16" s="611"/>
    </row>
    <row r="17" spans="1:14" ht="20.25" customHeight="1" x14ac:dyDescent="0.25">
      <c r="A17" s="612" t="s">
        <v>47</v>
      </c>
      <c r="B17" s="612"/>
      <c r="C17" s="612"/>
      <c r="D17" s="612"/>
      <c r="E17" s="612"/>
      <c r="F17" s="612"/>
      <c r="G17" s="612"/>
      <c r="H17" s="612"/>
    </row>
    <row r="18" spans="1:14" ht="26.25" customHeight="1" x14ac:dyDescent="0.4">
      <c r="A18" s="224" t="s">
        <v>33</v>
      </c>
      <c r="B18" s="608" t="s">
        <v>5</v>
      </c>
      <c r="C18" s="608"/>
      <c r="D18" s="380"/>
      <c r="E18" s="225"/>
      <c r="F18" s="226"/>
      <c r="G18" s="226"/>
      <c r="H18" s="226"/>
    </row>
    <row r="19" spans="1:14" ht="26.25" customHeight="1" x14ac:dyDescent="0.4">
      <c r="A19" s="224" t="s">
        <v>34</v>
      </c>
      <c r="B19" s="227" t="s">
        <v>7</v>
      </c>
      <c r="C19" s="393">
        <v>29</v>
      </c>
      <c r="D19" s="226"/>
      <c r="E19" s="226"/>
      <c r="F19" s="226"/>
      <c r="G19" s="226"/>
      <c r="H19" s="226"/>
    </row>
    <row r="20" spans="1:14" ht="26.25" customHeight="1" x14ac:dyDescent="0.4">
      <c r="A20" s="224" t="s">
        <v>35</v>
      </c>
      <c r="B20" s="662" t="s">
        <v>126</v>
      </c>
      <c r="C20" s="660"/>
      <c r="D20" s="661"/>
      <c r="E20" s="660"/>
      <c r="F20" s="660"/>
      <c r="G20" s="226"/>
      <c r="H20" s="226"/>
    </row>
    <row r="21" spans="1:14" ht="26.25" customHeight="1" x14ac:dyDescent="0.4">
      <c r="A21" s="224" t="s">
        <v>36</v>
      </c>
      <c r="B21" s="663" t="s">
        <v>129</v>
      </c>
      <c r="C21" s="613"/>
      <c r="D21" s="613"/>
      <c r="E21" s="613"/>
      <c r="F21" s="613"/>
      <c r="G21" s="613"/>
      <c r="H21" s="613"/>
      <c r="I21" s="228"/>
    </row>
    <row r="22" spans="1:14" ht="26.25" customHeight="1" x14ac:dyDescent="0.4">
      <c r="A22" s="224" t="s">
        <v>37</v>
      </c>
      <c r="B22" s="229" t="s">
        <v>12</v>
      </c>
      <c r="C22" s="226"/>
      <c r="D22" s="226"/>
      <c r="E22" s="226"/>
      <c r="F22" s="226"/>
      <c r="G22" s="226"/>
      <c r="H22" s="226"/>
    </row>
    <row r="23" spans="1:14" ht="26.25" customHeight="1" x14ac:dyDescent="0.4">
      <c r="A23" s="224" t="s">
        <v>38</v>
      </c>
      <c r="B23" s="229"/>
      <c r="C23" s="226"/>
      <c r="D23" s="226"/>
      <c r="E23" s="226"/>
      <c r="F23" s="226"/>
      <c r="G23" s="226"/>
      <c r="H23" s="226"/>
    </row>
    <row r="24" spans="1:14" ht="18.75" x14ac:dyDescent="0.3">
      <c r="A24" s="224"/>
      <c r="B24" s="230"/>
    </row>
    <row r="25" spans="1:14" ht="18.75" x14ac:dyDescent="0.3">
      <c r="A25" s="231" t="s">
        <v>1</v>
      </c>
      <c r="B25" s="230"/>
    </row>
    <row r="26" spans="1:14" ht="26.25" customHeight="1" x14ac:dyDescent="0.4">
      <c r="A26" s="232" t="s">
        <v>4</v>
      </c>
      <c r="B26" s="664" t="s">
        <v>127</v>
      </c>
      <c r="C26" s="608"/>
    </row>
    <row r="27" spans="1:14" ht="26.25" customHeight="1" x14ac:dyDescent="0.4">
      <c r="A27" s="233" t="s">
        <v>48</v>
      </c>
      <c r="B27" s="665" t="s">
        <v>128</v>
      </c>
      <c r="C27" s="606"/>
    </row>
    <row r="28" spans="1:14" ht="27" customHeight="1" x14ac:dyDescent="0.4">
      <c r="A28" s="233" t="s">
        <v>6</v>
      </c>
      <c r="B28" s="234">
        <v>99.8</v>
      </c>
    </row>
    <row r="29" spans="1:14" s="3" customFormat="1" ht="27" customHeight="1" x14ac:dyDescent="0.4">
      <c r="A29" s="233" t="s">
        <v>49</v>
      </c>
      <c r="B29" s="235">
        <v>0</v>
      </c>
      <c r="C29" s="583" t="s">
        <v>50</v>
      </c>
      <c r="D29" s="584"/>
      <c r="E29" s="584"/>
      <c r="F29" s="584"/>
      <c r="G29" s="585"/>
      <c r="I29" s="236"/>
      <c r="J29" s="236"/>
      <c r="K29" s="236"/>
      <c r="L29" s="236"/>
    </row>
    <row r="30" spans="1:14" s="3" customFormat="1" ht="19.5" customHeight="1" x14ac:dyDescent="0.3">
      <c r="A30" s="233" t="s">
        <v>51</v>
      </c>
      <c r="B30" s="237">
        <f>B28-B29</f>
        <v>99.8</v>
      </c>
      <c r="C30" s="238"/>
      <c r="D30" s="238"/>
      <c r="E30" s="238"/>
      <c r="F30" s="238"/>
      <c r="G30" s="239"/>
      <c r="I30" s="236"/>
      <c r="J30" s="236"/>
      <c r="K30" s="236"/>
      <c r="L30" s="236"/>
    </row>
    <row r="31" spans="1:14" s="3" customFormat="1" ht="27" customHeight="1" x14ac:dyDescent="0.4">
      <c r="A31" s="233" t="s">
        <v>52</v>
      </c>
      <c r="B31" s="240">
        <v>1</v>
      </c>
      <c r="C31" s="586" t="s">
        <v>53</v>
      </c>
      <c r="D31" s="587"/>
      <c r="E31" s="587"/>
      <c r="F31" s="587"/>
      <c r="G31" s="587"/>
      <c r="H31" s="588"/>
      <c r="I31" s="236"/>
      <c r="J31" s="236"/>
      <c r="K31" s="236"/>
      <c r="L31" s="236"/>
    </row>
    <row r="32" spans="1:14" s="3" customFormat="1" ht="27" customHeight="1" x14ac:dyDescent="0.4">
      <c r="A32" s="233" t="s">
        <v>54</v>
      </c>
      <c r="B32" s="240">
        <v>1</v>
      </c>
      <c r="C32" s="586" t="s">
        <v>55</v>
      </c>
      <c r="D32" s="587"/>
      <c r="E32" s="587"/>
      <c r="F32" s="587"/>
      <c r="G32" s="587"/>
      <c r="H32" s="588"/>
      <c r="I32" s="236"/>
      <c r="J32" s="236"/>
      <c r="K32" s="236"/>
      <c r="L32" s="241"/>
      <c r="M32" s="241"/>
      <c r="N32" s="242"/>
    </row>
    <row r="33" spans="1:14" s="3" customFormat="1" ht="17.25" customHeight="1" x14ac:dyDescent="0.3">
      <c r="A33" s="233"/>
      <c r="B33" s="243"/>
      <c r="C33" s="244"/>
      <c r="D33" s="244"/>
      <c r="E33" s="244"/>
      <c r="F33" s="244"/>
      <c r="G33" s="244"/>
      <c r="H33" s="244"/>
      <c r="I33" s="236"/>
      <c r="J33" s="236"/>
      <c r="K33" s="236"/>
      <c r="L33" s="241"/>
      <c r="M33" s="241"/>
      <c r="N33" s="242"/>
    </row>
    <row r="34" spans="1:14" s="3" customFormat="1" ht="18.75" x14ac:dyDescent="0.3">
      <c r="A34" s="233" t="s">
        <v>56</v>
      </c>
      <c r="B34" s="245">
        <f>B31/B32</f>
        <v>1</v>
      </c>
      <c r="C34" s="223" t="s">
        <v>57</v>
      </c>
      <c r="D34" s="223"/>
      <c r="E34" s="223"/>
      <c r="F34" s="223"/>
      <c r="G34" s="223"/>
      <c r="I34" s="236"/>
      <c r="J34" s="236"/>
      <c r="K34" s="236"/>
      <c r="L34" s="241"/>
      <c r="M34" s="241"/>
      <c r="N34" s="242"/>
    </row>
    <row r="35" spans="1:14" s="3" customFormat="1" ht="19.5" customHeight="1" x14ac:dyDescent="0.3">
      <c r="A35" s="233"/>
      <c r="B35" s="237"/>
      <c r="G35" s="223"/>
      <c r="I35" s="236"/>
      <c r="J35" s="236"/>
      <c r="K35" s="236"/>
      <c r="L35" s="241"/>
      <c r="M35" s="241"/>
      <c r="N35" s="242"/>
    </row>
    <row r="36" spans="1:14" s="3" customFormat="1" ht="27" customHeight="1" x14ac:dyDescent="0.4">
      <c r="A36" s="246" t="s">
        <v>58</v>
      </c>
      <c r="B36" s="247">
        <v>50</v>
      </c>
      <c r="C36" s="223"/>
      <c r="D36" s="589" t="s">
        <v>59</v>
      </c>
      <c r="E36" s="607"/>
      <c r="F36" s="589" t="s">
        <v>60</v>
      </c>
      <c r="G36" s="590"/>
      <c r="J36" s="236"/>
      <c r="K36" s="236"/>
      <c r="L36" s="241"/>
      <c r="M36" s="241"/>
      <c r="N36" s="242"/>
    </row>
    <row r="37" spans="1:14" s="3" customFormat="1" ht="27" customHeight="1" x14ac:dyDescent="0.4">
      <c r="A37" s="248" t="s">
        <v>61</v>
      </c>
      <c r="B37" s="249">
        <v>10</v>
      </c>
      <c r="C37" s="250" t="s">
        <v>62</v>
      </c>
      <c r="D37" s="251" t="s">
        <v>63</v>
      </c>
      <c r="E37" s="252" t="s">
        <v>64</v>
      </c>
      <c r="F37" s="251" t="s">
        <v>63</v>
      </c>
      <c r="G37" s="253" t="s">
        <v>64</v>
      </c>
      <c r="I37" s="254" t="s">
        <v>65</v>
      </c>
      <c r="J37" s="236"/>
      <c r="K37" s="236"/>
      <c r="L37" s="241"/>
      <c r="M37" s="241"/>
      <c r="N37" s="242"/>
    </row>
    <row r="38" spans="1:14" s="3" customFormat="1" ht="26.25" customHeight="1" x14ac:dyDescent="0.4">
      <c r="A38" s="248" t="s">
        <v>66</v>
      </c>
      <c r="B38" s="249">
        <v>20</v>
      </c>
      <c r="C38" s="255">
        <v>1</v>
      </c>
      <c r="D38" s="256">
        <v>29077849</v>
      </c>
      <c r="E38" s="257">
        <f>IF(ISBLANK(D38),"-",$D$48/$D$45*D38)</f>
        <v>24019885.607984312</v>
      </c>
      <c r="F38" s="256">
        <v>27603727</v>
      </c>
      <c r="G38" s="258">
        <f>IF(ISBLANK(F38),"-",$D$48/$F$45*F38)</f>
        <v>24156371.257799447</v>
      </c>
      <c r="I38" s="259"/>
      <c r="J38" s="236"/>
      <c r="K38" s="236"/>
      <c r="L38" s="241"/>
      <c r="M38" s="241"/>
      <c r="N38" s="242"/>
    </row>
    <row r="39" spans="1:14" s="3" customFormat="1" ht="26.25" customHeight="1" x14ac:dyDescent="0.4">
      <c r="A39" s="248" t="s">
        <v>67</v>
      </c>
      <c r="B39" s="249">
        <v>1</v>
      </c>
      <c r="C39" s="260">
        <v>2</v>
      </c>
      <c r="D39" s="261">
        <v>28700763</v>
      </c>
      <c r="E39" s="262">
        <f>IF(ISBLANK(D39),"-",$D$48/$D$45*D39)</f>
        <v>23708392.052034818</v>
      </c>
      <c r="F39" s="261">
        <v>27652866</v>
      </c>
      <c r="G39" s="263">
        <f>IF(ISBLANK(F39),"-",$D$48/$F$45*F39)</f>
        <v>24199373.419327743</v>
      </c>
      <c r="I39" s="591">
        <f>ABS((F43/D43*D42)-F42)/D42</f>
        <v>1.1442169990689163E-2</v>
      </c>
      <c r="J39" s="236"/>
      <c r="K39" s="236"/>
      <c r="L39" s="241"/>
      <c r="M39" s="241"/>
      <c r="N39" s="242"/>
    </row>
    <row r="40" spans="1:14" ht="26.25" customHeight="1" x14ac:dyDescent="0.4">
      <c r="A40" s="248" t="s">
        <v>68</v>
      </c>
      <c r="B40" s="249">
        <v>1</v>
      </c>
      <c r="C40" s="260">
        <v>3</v>
      </c>
      <c r="D40" s="261">
        <v>29508648</v>
      </c>
      <c r="E40" s="262">
        <f>IF(ISBLANK(D40),"-",$D$48/$D$45*D40)</f>
        <v>24375749.024842761</v>
      </c>
      <c r="F40" s="261">
        <v>28136155</v>
      </c>
      <c r="G40" s="263">
        <f>IF(ISBLANK(F40),"-",$D$48/$F$45*F40)</f>
        <v>24622305.746864911</v>
      </c>
      <c r="I40" s="591"/>
      <c r="L40" s="241"/>
      <c r="M40" s="241"/>
      <c r="N40" s="264"/>
    </row>
    <row r="41" spans="1:14" ht="27" customHeight="1" x14ac:dyDescent="0.4">
      <c r="A41" s="248" t="s">
        <v>69</v>
      </c>
      <c r="B41" s="249">
        <v>1</v>
      </c>
      <c r="C41" s="265">
        <v>4</v>
      </c>
      <c r="D41" s="266"/>
      <c r="E41" s="267" t="str">
        <f>IF(ISBLANK(D41),"-",$D$48/$D$45*D41)</f>
        <v>-</v>
      </c>
      <c r="F41" s="266"/>
      <c r="G41" s="268" t="str">
        <f>IF(ISBLANK(F41),"-",$D$48/$F$45*F41)</f>
        <v>-</v>
      </c>
      <c r="I41" s="269"/>
      <c r="L41" s="241"/>
      <c r="M41" s="241"/>
      <c r="N41" s="264"/>
    </row>
    <row r="42" spans="1:14" ht="27" customHeight="1" x14ac:dyDescent="0.4">
      <c r="A42" s="248" t="s">
        <v>70</v>
      </c>
      <c r="B42" s="249">
        <v>1</v>
      </c>
      <c r="C42" s="270" t="s">
        <v>71</v>
      </c>
      <c r="D42" s="271">
        <f>AVERAGE(D38:D41)</f>
        <v>29095753.333333332</v>
      </c>
      <c r="E42" s="272">
        <f>AVERAGE(E38:E41)</f>
        <v>24034675.561620634</v>
      </c>
      <c r="F42" s="271">
        <f>AVERAGE(F38:F41)</f>
        <v>27797582.666666668</v>
      </c>
      <c r="G42" s="273">
        <f>AVERAGE(G38:G41)</f>
        <v>24326016.807997365</v>
      </c>
      <c r="H42" s="274"/>
    </row>
    <row r="43" spans="1:14" ht="26.25" customHeight="1" x14ac:dyDescent="0.4">
      <c r="A43" s="248" t="s">
        <v>72</v>
      </c>
      <c r="B43" s="249">
        <v>1</v>
      </c>
      <c r="C43" s="275" t="s">
        <v>73</v>
      </c>
      <c r="D43" s="276">
        <v>12.13</v>
      </c>
      <c r="E43" s="264"/>
      <c r="F43" s="276">
        <v>11.45</v>
      </c>
      <c r="H43" s="274"/>
    </row>
    <row r="44" spans="1:14" ht="26.25" customHeight="1" x14ac:dyDescent="0.4">
      <c r="A44" s="248" t="s">
        <v>74</v>
      </c>
      <c r="B44" s="249">
        <v>1</v>
      </c>
      <c r="C44" s="277" t="s">
        <v>75</v>
      </c>
      <c r="D44" s="278">
        <f>D43*$B$34</f>
        <v>12.13</v>
      </c>
      <c r="E44" s="279"/>
      <c r="F44" s="278">
        <f>F43*$B$34</f>
        <v>11.45</v>
      </c>
      <c r="H44" s="274"/>
    </row>
    <row r="45" spans="1:14" ht="19.5" customHeight="1" x14ac:dyDescent="0.3">
      <c r="A45" s="248" t="s">
        <v>76</v>
      </c>
      <c r="B45" s="280">
        <f>(B44/B43)*(B42/B41)*(B40/B39)*(B38/B37)*B36</f>
        <v>100</v>
      </c>
      <c r="C45" s="277" t="s">
        <v>77</v>
      </c>
      <c r="D45" s="281">
        <f>D44*$B$30/100</f>
        <v>12.105740000000001</v>
      </c>
      <c r="E45" s="282"/>
      <c r="F45" s="281">
        <f>F44*$B$30/100</f>
        <v>11.427099999999998</v>
      </c>
      <c r="H45" s="274"/>
    </row>
    <row r="46" spans="1:14" ht="19.5" customHeight="1" x14ac:dyDescent="0.3">
      <c r="A46" s="577" t="s">
        <v>78</v>
      </c>
      <c r="B46" s="578"/>
      <c r="C46" s="277" t="s">
        <v>79</v>
      </c>
      <c r="D46" s="283">
        <f>D45/$B$45</f>
        <v>0.12105740000000001</v>
      </c>
      <c r="E46" s="284"/>
      <c r="F46" s="285">
        <f>F45/$B$45</f>
        <v>0.11427099999999997</v>
      </c>
      <c r="H46" s="274"/>
    </row>
    <row r="47" spans="1:14" ht="27" customHeight="1" x14ac:dyDescent="0.4">
      <c r="A47" s="579"/>
      <c r="B47" s="580"/>
      <c r="C47" s="286" t="s">
        <v>80</v>
      </c>
      <c r="D47" s="287">
        <v>0.1</v>
      </c>
      <c r="E47" s="288"/>
      <c r="F47" s="284"/>
      <c r="H47" s="274"/>
    </row>
    <row r="48" spans="1:14" ht="18.75" x14ac:dyDescent="0.3">
      <c r="C48" s="289" t="s">
        <v>81</v>
      </c>
      <c r="D48" s="281">
        <f>D47*$B$45</f>
        <v>10</v>
      </c>
      <c r="F48" s="290"/>
      <c r="H48" s="274"/>
    </row>
    <row r="49" spans="1:12" ht="19.5" customHeight="1" x14ac:dyDescent="0.3">
      <c r="C49" s="291" t="s">
        <v>82</v>
      </c>
      <c r="D49" s="292">
        <f>D48/B34</f>
        <v>10</v>
      </c>
      <c r="F49" s="290"/>
      <c r="H49" s="274"/>
    </row>
    <row r="50" spans="1:12" ht="18.75" x14ac:dyDescent="0.3">
      <c r="C50" s="246" t="s">
        <v>83</v>
      </c>
      <c r="D50" s="293">
        <f>AVERAGE(E38:E41,G38:G41)</f>
        <v>24180346.184808999</v>
      </c>
      <c r="F50" s="294"/>
      <c r="H50" s="274"/>
    </row>
    <row r="51" spans="1:12" ht="18.75" x14ac:dyDescent="0.3">
      <c r="C51" s="248" t="s">
        <v>84</v>
      </c>
      <c r="D51" s="295">
        <f>STDEV(E38:E41,G38:G41)/D50</f>
        <v>1.2852781361205068E-2</v>
      </c>
      <c r="F51" s="294"/>
      <c r="H51" s="274"/>
    </row>
    <row r="52" spans="1:12" ht="19.5" customHeight="1" x14ac:dyDescent="0.3">
      <c r="C52" s="296" t="s">
        <v>20</v>
      </c>
      <c r="D52" s="297">
        <f>COUNT(E38:E41,G38:G41)</f>
        <v>6</v>
      </c>
      <c r="F52" s="294"/>
    </row>
    <row r="54" spans="1:12" ht="18.75" x14ac:dyDescent="0.3">
      <c r="A54" s="298" t="s">
        <v>1</v>
      </c>
      <c r="B54" s="299" t="s">
        <v>85</v>
      </c>
    </row>
    <row r="55" spans="1:12" ht="18.75" x14ac:dyDescent="0.3">
      <c r="A55" s="223" t="s">
        <v>86</v>
      </c>
      <c r="B55" s="300" t="str">
        <f>B21</f>
        <v xml:space="preserve">Each film coated tablet contains: </v>
      </c>
    </row>
    <row r="56" spans="1:12" ht="26.25" customHeight="1" x14ac:dyDescent="0.4">
      <c r="A56" s="301" t="s">
        <v>87</v>
      </c>
      <c r="B56" s="302">
        <v>200</v>
      </c>
      <c r="C56" s="223" t="str">
        <f>B20</f>
        <v>Efavirenz, Tenofovir Disproxil Fumarate, Emtricitabine</v>
      </c>
      <c r="H56" s="303"/>
    </row>
    <row r="57" spans="1:12" ht="18.75" x14ac:dyDescent="0.3">
      <c r="A57" s="300" t="s">
        <v>88</v>
      </c>
      <c r="B57" s="381">
        <f>Uniformity!C46</f>
        <v>1484.4985000000004</v>
      </c>
      <c r="H57" s="303"/>
    </row>
    <row r="58" spans="1:12" ht="19.5" customHeight="1" x14ac:dyDescent="0.3">
      <c r="H58" s="303"/>
    </row>
    <row r="59" spans="1:12" s="3" customFormat="1" ht="27" customHeight="1" x14ac:dyDescent="0.4">
      <c r="A59" s="246" t="s">
        <v>89</v>
      </c>
      <c r="B59" s="247">
        <v>100</v>
      </c>
      <c r="C59" s="223"/>
      <c r="D59" s="304" t="s">
        <v>90</v>
      </c>
      <c r="E59" s="305" t="s">
        <v>62</v>
      </c>
      <c r="F59" s="305" t="s">
        <v>63</v>
      </c>
      <c r="G59" s="305" t="s">
        <v>91</v>
      </c>
      <c r="H59" s="250" t="s">
        <v>92</v>
      </c>
      <c r="L59" s="236"/>
    </row>
    <row r="60" spans="1:12" s="3" customFormat="1" ht="26.25" customHeight="1" x14ac:dyDescent="0.4">
      <c r="A60" s="248" t="s">
        <v>93</v>
      </c>
      <c r="B60" s="249">
        <v>5</v>
      </c>
      <c r="C60" s="594" t="s">
        <v>94</v>
      </c>
      <c r="D60" s="597">
        <v>684.69</v>
      </c>
      <c r="E60" s="306">
        <v>1</v>
      </c>
      <c r="F60" s="307">
        <v>22063162</v>
      </c>
      <c r="G60" s="382">
        <f>IF(ISBLANK(F60),"-",(F60/$D$50*$D$47*$B$68)*($B$57/$D$60))</f>
        <v>197.82948375568623</v>
      </c>
      <c r="H60" s="308">
        <f t="shared" ref="H60:H71" si="0">IF(ISBLANK(F60),"-",G60/$B$56)</f>
        <v>0.98914741877843115</v>
      </c>
      <c r="L60" s="236"/>
    </row>
    <row r="61" spans="1:12" s="3" customFormat="1" ht="26.25" customHeight="1" x14ac:dyDescent="0.4">
      <c r="A61" s="248" t="s">
        <v>95</v>
      </c>
      <c r="B61" s="249">
        <v>50</v>
      </c>
      <c r="C61" s="595"/>
      <c r="D61" s="598"/>
      <c r="E61" s="309">
        <v>2</v>
      </c>
      <c r="F61" s="261">
        <v>22529111</v>
      </c>
      <c r="G61" s="383">
        <f>IF(ISBLANK(F61),"-",(F61/$D$50*$D$47*$B$68)*($B$57/$D$60))</f>
        <v>202.00741845636415</v>
      </c>
      <c r="H61" s="310">
        <f t="shared" si="0"/>
        <v>1.0100370922818207</v>
      </c>
      <c r="L61" s="236"/>
    </row>
    <row r="62" spans="1:12" s="3" customFormat="1" ht="26.25" customHeight="1" x14ac:dyDescent="0.4">
      <c r="A62" s="248" t="s">
        <v>96</v>
      </c>
      <c r="B62" s="249">
        <v>1</v>
      </c>
      <c r="C62" s="595"/>
      <c r="D62" s="598"/>
      <c r="E62" s="309">
        <v>3</v>
      </c>
      <c r="F62" s="311">
        <v>22406346</v>
      </c>
      <c r="G62" s="383">
        <f>IF(ISBLANK(F62),"-",(F62/$D$50*$D$47*$B$68)*($B$57/$D$60))</f>
        <v>200.90664529550594</v>
      </c>
      <c r="H62" s="310">
        <f t="shared" si="0"/>
        <v>1.0045332264775297</v>
      </c>
      <c r="L62" s="236"/>
    </row>
    <row r="63" spans="1:12" ht="27" customHeight="1" x14ac:dyDescent="0.4">
      <c r="A63" s="248" t="s">
        <v>97</v>
      </c>
      <c r="B63" s="249">
        <v>1</v>
      </c>
      <c r="C63" s="605"/>
      <c r="D63" s="599"/>
      <c r="E63" s="312">
        <v>4</v>
      </c>
      <c r="F63" s="313"/>
      <c r="G63" s="383" t="str">
        <f>IF(ISBLANK(F63),"-",(F63/$D$50*$D$47*$B$68)*($B$57/$D$60))</f>
        <v>-</v>
      </c>
      <c r="H63" s="310" t="str">
        <f t="shared" si="0"/>
        <v>-</v>
      </c>
    </row>
    <row r="64" spans="1:12" ht="26.25" customHeight="1" x14ac:dyDescent="0.4">
      <c r="A64" s="248" t="s">
        <v>98</v>
      </c>
      <c r="B64" s="249">
        <v>1</v>
      </c>
      <c r="C64" s="594" t="s">
        <v>99</v>
      </c>
      <c r="D64" s="597">
        <v>704.35</v>
      </c>
      <c r="E64" s="306">
        <v>1</v>
      </c>
      <c r="F64" s="307">
        <v>22210443</v>
      </c>
      <c r="G64" s="384">
        <f>IF(ISBLANK(F64),"-",(F64/$D$50*$D$47*$B$68)*($B$57/$D$64))</f>
        <v>193.59135107550364</v>
      </c>
      <c r="H64" s="314">
        <f t="shared" si="0"/>
        <v>0.96795675537751824</v>
      </c>
    </row>
    <row r="65" spans="1:8" ht="26.25" customHeight="1" x14ac:dyDescent="0.4">
      <c r="A65" s="248" t="s">
        <v>100</v>
      </c>
      <c r="B65" s="249">
        <v>1</v>
      </c>
      <c r="C65" s="595"/>
      <c r="D65" s="598"/>
      <c r="E65" s="309">
        <v>2</v>
      </c>
      <c r="F65" s="261">
        <v>22247135</v>
      </c>
      <c r="G65" s="385">
        <f>IF(ISBLANK(F65),"-",(F65/$D$50*$D$47*$B$68)*($B$57/$D$64))</f>
        <v>193.91116702215822</v>
      </c>
      <c r="H65" s="315">
        <f t="shared" si="0"/>
        <v>0.96955583511079113</v>
      </c>
    </row>
    <row r="66" spans="1:8" ht="26.25" customHeight="1" x14ac:dyDescent="0.4">
      <c r="A66" s="248" t="s">
        <v>101</v>
      </c>
      <c r="B66" s="249">
        <v>1</v>
      </c>
      <c r="C66" s="595"/>
      <c r="D66" s="598"/>
      <c r="E66" s="309">
        <v>3</v>
      </c>
      <c r="F66" s="261">
        <v>22512316</v>
      </c>
      <c r="G66" s="385">
        <f>IF(ISBLANK(F66),"-",(F66/$D$50*$D$47*$B$68)*($B$57/$D$64))</f>
        <v>196.22254586631513</v>
      </c>
      <c r="H66" s="315">
        <f t="shared" si="0"/>
        <v>0.98111272933157567</v>
      </c>
    </row>
    <row r="67" spans="1:8" ht="27" customHeight="1" x14ac:dyDescent="0.4">
      <c r="A67" s="248" t="s">
        <v>102</v>
      </c>
      <c r="B67" s="249">
        <v>1</v>
      </c>
      <c r="C67" s="605"/>
      <c r="D67" s="599"/>
      <c r="E67" s="312">
        <v>4</v>
      </c>
      <c r="F67" s="313"/>
      <c r="G67" s="386" t="str">
        <f>IF(ISBLANK(F67),"-",(F67/$D$50*$D$47*$B$68)*($B$57/$D$64))</f>
        <v>-</v>
      </c>
      <c r="H67" s="316" t="str">
        <f t="shared" si="0"/>
        <v>-</v>
      </c>
    </row>
    <row r="68" spans="1:8" ht="26.25" customHeight="1" x14ac:dyDescent="0.4">
      <c r="A68" s="248" t="s">
        <v>103</v>
      </c>
      <c r="B68" s="317">
        <f>(B67/B66)*(B65/B64)*(B63/B62)*(B61/B60)*B59</f>
        <v>1000</v>
      </c>
      <c r="C68" s="594" t="s">
        <v>104</v>
      </c>
      <c r="D68" s="597">
        <v>761.81</v>
      </c>
      <c r="E68" s="306">
        <v>1</v>
      </c>
      <c r="F68" s="307">
        <v>23868142</v>
      </c>
      <c r="G68" s="384">
        <f>IF(ISBLANK(F68),"-",(F68/$D$50*$D$47*$B$68)*($B$57/$D$68))</f>
        <v>192.34867216353075</v>
      </c>
      <c r="H68" s="310">
        <f t="shared" si="0"/>
        <v>0.96174336081765377</v>
      </c>
    </row>
    <row r="69" spans="1:8" ht="27" customHeight="1" x14ac:dyDescent="0.4">
      <c r="A69" s="296" t="s">
        <v>105</v>
      </c>
      <c r="B69" s="318">
        <f>(D47*B68)/B56*B57</f>
        <v>742.24925000000019</v>
      </c>
      <c r="C69" s="595"/>
      <c r="D69" s="598"/>
      <c r="E69" s="309">
        <v>2</v>
      </c>
      <c r="F69" s="261">
        <v>23915649</v>
      </c>
      <c r="G69" s="385">
        <f>IF(ISBLANK(F69),"-",(F69/$D$50*$D$47*$B$68)*($B$57/$D$68))</f>
        <v>192.73152175309971</v>
      </c>
      <c r="H69" s="310">
        <f t="shared" si="0"/>
        <v>0.96365760876549855</v>
      </c>
    </row>
    <row r="70" spans="1:8" ht="26.25" customHeight="1" x14ac:dyDescent="0.4">
      <c r="A70" s="600" t="s">
        <v>78</v>
      </c>
      <c r="B70" s="601"/>
      <c r="C70" s="595"/>
      <c r="D70" s="598"/>
      <c r="E70" s="309">
        <v>3</v>
      </c>
      <c r="F70" s="261">
        <v>24097129</v>
      </c>
      <c r="G70" s="385">
        <f>IF(ISBLANK(F70),"-",(F70/$D$50*$D$47*$B$68)*($B$57/$D$68))</f>
        <v>194.19403345695321</v>
      </c>
      <c r="H70" s="310">
        <f t="shared" si="0"/>
        <v>0.97097016728476604</v>
      </c>
    </row>
    <row r="71" spans="1:8" ht="27" customHeight="1" x14ac:dyDescent="0.4">
      <c r="A71" s="602"/>
      <c r="B71" s="603"/>
      <c r="C71" s="596"/>
      <c r="D71" s="599"/>
      <c r="E71" s="312">
        <v>4</v>
      </c>
      <c r="F71" s="313"/>
      <c r="G71" s="386" t="str">
        <f>IF(ISBLANK(F71),"-",(F71/$D$50*$D$47*$B$68)*($B$57/$D$68))</f>
        <v>-</v>
      </c>
      <c r="H71" s="319" t="str">
        <f t="shared" si="0"/>
        <v>-</v>
      </c>
    </row>
    <row r="72" spans="1:8" ht="26.25" customHeight="1" x14ac:dyDescent="0.4">
      <c r="A72" s="320"/>
      <c r="B72" s="320"/>
      <c r="C72" s="320"/>
      <c r="D72" s="320"/>
      <c r="E72" s="320"/>
      <c r="F72" s="322" t="s">
        <v>71</v>
      </c>
      <c r="G72" s="391">
        <f>AVERAGE(G60:G71)</f>
        <v>195.97142653834635</v>
      </c>
      <c r="H72" s="323">
        <f>AVERAGE(H60:H71)</f>
        <v>0.9798571326917318</v>
      </c>
    </row>
    <row r="73" spans="1:8" ht="26.25" customHeight="1" x14ac:dyDescent="0.4">
      <c r="C73" s="320"/>
      <c r="D73" s="320"/>
      <c r="E73" s="320"/>
      <c r="F73" s="324" t="s">
        <v>84</v>
      </c>
      <c r="G73" s="387">
        <f>STDEV(G60:G71)/G72</f>
        <v>1.8130592190899953E-2</v>
      </c>
      <c r="H73" s="387">
        <f>STDEV(H60:H71)/H72</f>
        <v>1.8130592190899946E-2</v>
      </c>
    </row>
    <row r="74" spans="1:8" ht="27" customHeight="1" x14ac:dyDescent="0.4">
      <c r="A74" s="320"/>
      <c r="B74" s="320"/>
      <c r="C74" s="321"/>
      <c r="D74" s="321"/>
      <c r="E74" s="325"/>
      <c r="F74" s="326" t="s">
        <v>20</v>
      </c>
      <c r="G74" s="327">
        <f>COUNT(G60:G71)</f>
        <v>9</v>
      </c>
      <c r="H74" s="327">
        <f>COUNT(H60:H71)</f>
        <v>9</v>
      </c>
    </row>
    <row r="76" spans="1:8" ht="26.25" customHeight="1" x14ac:dyDescent="0.4">
      <c r="A76" s="232" t="s">
        <v>106</v>
      </c>
      <c r="B76" s="328" t="s">
        <v>107</v>
      </c>
      <c r="C76" s="581" t="str">
        <f>B20</f>
        <v>Efavirenz, Tenofovir Disproxil Fumarate, Emtricitabine</v>
      </c>
      <c r="D76" s="581"/>
      <c r="E76" s="329" t="s">
        <v>108</v>
      </c>
      <c r="F76" s="329"/>
      <c r="G76" s="330">
        <f>H72</f>
        <v>0.9798571326917318</v>
      </c>
      <c r="H76" s="331"/>
    </row>
    <row r="77" spans="1:8" ht="18.75" x14ac:dyDescent="0.3">
      <c r="A77" s="231" t="s">
        <v>109</v>
      </c>
      <c r="B77" s="231" t="s">
        <v>110</v>
      </c>
    </row>
    <row r="78" spans="1:8" ht="18.75" x14ac:dyDescent="0.3">
      <c r="A78" s="231"/>
      <c r="B78" s="231"/>
    </row>
    <row r="79" spans="1:8" ht="26.25" customHeight="1" x14ac:dyDescent="0.4">
      <c r="A79" s="232" t="s">
        <v>4</v>
      </c>
      <c r="B79" s="604" t="str">
        <f>B26</f>
        <v>EMTRICITABINE</v>
      </c>
      <c r="C79" s="604"/>
    </row>
    <row r="80" spans="1:8" ht="26.25" customHeight="1" x14ac:dyDescent="0.4">
      <c r="A80" s="233" t="s">
        <v>48</v>
      </c>
      <c r="B80" s="604" t="str">
        <f>B27</f>
        <v>PRS E11 -2</v>
      </c>
      <c r="C80" s="604"/>
    </row>
    <row r="81" spans="1:12" ht="27" customHeight="1" x14ac:dyDescent="0.4">
      <c r="A81" s="233" t="s">
        <v>6</v>
      </c>
      <c r="B81" s="332">
        <f>B28</f>
        <v>99.8</v>
      </c>
    </row>
    <row r="82" spans="1:12" s="3" customFormat="1" ht="27" customHeight="1" x14ac:dyDescent="0.4">
      <c r="A82" s="233" t="s">
        <v>49</v>
      </c>
      <c r="B82" s="235">
        <v>0</v>
      </c>
      <c r="C82" s="583" t="s">
        <v>50</v>
      </c>
      <c r="D82" s="584"/>
      <c r="E82" s="584"/>
      <c r="F82" s="584"/>
      <c r="G82" s="585"/>
      <c r="I82" s="236"/>
      <c r="J82" s="236"/>
      <c r="K82" s="236"/>
      <c r="L82" s="236"/>
    </row>
    <row r="83" spans="1:12" s="3" customFormat="1" ht="19.5" customHeight="1" x14ac:dyDescent="0.3">
      <c r="A83" s="233" t="s">
        <v>51</v>
      </c>
      <c r="B83" s="237">
        <f>B81-B82</f>
        <v>99.8</v>
      </c>
      <c r="C83" s="238"/>
      <c r="D83" s="238"/>
      <c r="E83" s="238"/>
      <c r="F83" s="238"/>
      <c r="G83" s="239"/>
      <c r="I83" s="236"/>
      <c r="J83" s="236"/>
      <c r="K83" s="236"/>
      <c r="L83" s="236"/>
    </row>
    <row r="84" spans="1:12" s="3" customFormat="1" ht="27" customHeight="1" x14ac:dyDescent="0.4">
      <c r="A84" s="233" t="s">
        <v>52</v>
      </c>
      <c r="B84" s="240">
        <v>1</v>
      </c>
      <c r="C84" s="586" t="s">
        <v>111</v>
      </c>
      <c r="D84" s="587"/>
      <c r="E84" s="587"/>
      <c r="F84" s="587"/>
      <c r="G84" s="587"/>
      <c r="H84" s="588"/>
      <c r="I84" s="236"/>
      <c r="J84" s="236"/>
      <c r="K84" s="236"/>
      <c r="L84" s="236"/>
    </row>
    <row r="85" spans="1:12" s="3" customFormat="1" ht="27" customHeight="1" x14ac:dyDescent="0.4">
      <c r="A85" s="233" t="s">
        <v>54</v>
      </c>
      <c r="B85" s="240">
        <v>1</v>
      </c>
      <c r="C85" s="586" t="s">
        <v>112</v>
      </c>
      <c r="D85" s="587"/>
      <c r="E85" s="587"/>
      <c r="F85" s="587"/>
      <c r="G85" s="587"/>
      <c r="H85" s="588"/>
      <c r="I85" s="236"/>
      <c r="J85" s="236"/>
      <c r="K85" s="236"/>
      <c r="L85" s="236"/>
    </row>
    <row r="86" spans="1:12" s="3" customFormat="1" ht="18.75" x14ac:dyDescent="0.3">
      <c r="A86" s="233"/>
      <c r="B86" s="243"/>
      <c r="C86" s="244"/>
      <c r="D86" s="244"/>
      <c r="E86" s="244"/>
      <c r="F86" s="244"/>
      <c r="G86" s="244"/>
      <c r="H86" s="244"/>
      <c r="I86" s="236"/>
      <c r="J86" s="236"/>
      <c r="K86" s="236"/>
      <c r="L86" s="236"/>
    </row>
    <row r="87" spans="1:12" s="3" customFormat="1" ht="18.75" x14ac:dyDescent="0.3">
      <c r="A87" s="233" t="s">
        <v>56</v>
      </c>
      <c r="B87" s="245">
        <f>B84/B85</f>
        <v>1</v>
      </c>
      <c r="C87" s="223" t="s">
        <v>57</v>
      </c>
      <c r="D87" s="223"/>
      <c r="E87" s="223"/>
      <c r="F87" s="223"/>
      <c r="G87" s="223"/>
      <c r="I87" s="236"/>
      <c r="J87" s="236"/>
      <c r="K87" s="236"/>
      <c r="L87" s="236"/>
    </row>
    <row r="88" spans="1:12" ht="19.5" customHeight="1" x14ac:dyDescent="0.3">
      <c r="A88" s="231"/>
      <c r="B88" s="231"/>
    </row>
    <row r="89" spans="1:12" ht="27" customHeight="1" x14ac:dyDescent="0.4">
      <c r="A89" s="666" t="s">
        <v>58</v>
      </c>
      <c r="B89" s="667">
        <v>50</v>
      </c>
      <c r="C89" s="668"/>
      <c r="D89" s="669" t="s">
        <v>59</v>
      </c>
      <c r="E89" s="670"/>
      <c r="F89" s="671" t="s">
        <v>60</v>
      </c>
      <c r="G89" s="672"/>
    </row>
    <row r="90" spans="1:12" ht="27" customHeight="1" x14ac:dyDescent="0.4">
      <c r="A90" s="673" t="s">
        <v>130</v>
      </c>
      <c r="B90" s="674">
        <v>5</v>
      </c>
      <c r="C90" s="675" t="s">
        <v>62</v>
      </c>
      <c r="D90" s="676" t="s">
        <v>63</v>
      </c>
      <c r="E90" s="677" t="s">
        <v>64</v>
      </c>
      <c r="F90" s="676" t="s">
        <v>63</v>
      </c>
      <c r="G90" s="678" t="s">
        <v>64</v>
      </c>
      <c r="I90" s="254" t="s">
        <v>65</v>
      </c>
    </row>
    <row r="91" spans="1:12" ht="26.25" customHeight="1" x14ac:dyDescent="0.4">
      <c r="A91" s="673" t="s">
        <v>131</v>
      </c>
      <c r="B91" s="674">
        <v>100</v>
      </c>
      <c r="C91" s="679">
        <v>1</v>
      </c>
      <c r="D91" s="680">
        <v>6138902</v>
      </c>
      <c r="E91" s="681">
        <f>IF(ISBLANK(D91),"-",$D$101/$D$98*D91)</f>
        <v>11584189.093818521</v>
      </c>
      <c r="F91" s="680">
        <v>6960459</v>
      </c>
      <c r="G91" s="682">
        <f>IF(ISBLANK(F91),"-",$D$101/$F$98*F91)</f>
        <v>11340500.513221566</v>
      </c>
      <c r="I91" s="259"/>
    </row>
    <row r="92" spans="1:12" ht="26.25" customHeight="1" x14ac:dyDescent="0.4">
      <c r="A92" s="673" t="s">
        <v>132</v>
      </c>
      <c r="B92" s="674">
        <v>1</v>
      </c>
      <c r="C92" s="683">
        <v>2</v>
      </c>
      <c r="D92" s="684">
        <v>6138969</v>
      </c>
      <c r="E92" s="685">
        <f>IF(ISBLANK(D92),"-",$D$101/$D$98*D92)</f>
        <v>11584315.523702772</v>
      </c>
      <c r="F92" s="684">
        <v>6944669</v>
      </c>
      <c r="G92" s="686">
        <f>IF(ISBLANK(F92),"-",$D$101/$F$98*F92)</f>
        <v>11314774.263975106</v>
      </c>
      <c r="I92" s="591">
        <f>ABS((F96/D96*D95)-F95)/D95</f>
        <v>2.4222873802085865E-2</v>
      </c>
    </row>
    <row r="93" spans="1:12" ht="26.25" customHeight="1" x14ac:dyDescent="0.4">
      <c r="A93" s="673" t="s">
        <v>133</v>
      </c>
      <c r="B93" s="674">
        <v>1</v>
      </c>
      <c r="C93" s="683">
        <v>3</v>
      </c>
      <c r="D93" s="684">
        <v>6141338</v>
      </c>
      <c r="E93" s="685">
        <f>IF(ISBLANK(D93),"-",$D$101/$D$98*D93)</f>
        <v>11588785.857968289</v>
      </c>
      <c r="F93" s="684">
        <v>6981688</v>
      </c>
      <c r="G93" s="686">
        <f>IF(ISBLANK(F93),"-",$D$101/$F$98*F93)</f>
        <v>11375088.388158431</v>
      </c>
      <c r="I93" s="591"/>
    </row>
    <row r="94" spans="1:12" ht="27" customHeight="1" x14ac:dyDescent="0.4">
      <c r="A94" s="673" t="s">
        <v>134</v>
      </c>
      <c r="B94" s="674">
        <v>1</v>
      </c>
      <c r="C94" s="687">
        <v>4</v>
      </c>
      <c r="D94" s="688"/>
      <c r="E94" s="689" t="str">
        <f>IF(ISBLANK(D94),"-",$D$101/$D$98*D94)</f>
        <v>-</v>
      </c>
      <c r="F94" s="690"/>
      <c r="G94" s="691" t="str">
        <f>IF(ISBLANK(F94),"-",$D$101/$F$98*F94)</f>
        <v>-</v>
      </c>
      <c r="I94" s="269"/>
    </row>
    <row r="95" spans="1:12" ht="27" customHeight="1" x14ac:dyDescent="0.4">
      <c r="A95" s="673" t="s">
        <v>135</v>
      </c>
      <c r="B95" s="674">
        <v>1</v>
      </c>
      <c r="C95" s="692" t="s">
        <v>71</v>
      </c>
      <c r="D95" s="693">
        <f>AVERAGE(D91:D94)</f>
        <v>6139736.333333333</v>
      </c>
      <c r="E95" s="694">
        <f>AVERAGE(E91:E94)</f>
        <v>11585763.491829863</v>
      </c>
      <c r="F95" s="695">
        <f>AVERAGE(F91:F94)</f>
        <v>6962272</v>
      </c>
      <c r="G95" s="696">
        <f>AVERAGE(G91:G94)</f>
        <v>11343454.388451701</v>
      </c>
    </row>
    <row r="96" spans="1:12" ht="26.25" customHeight="1" x14ac:dyDescent="0.4">
      <c r="A96" s="673" t="s">
        <v>136</v>
      </c>
      <c r="B96" s="697">
        <v>1</v>
      </c>
      <c r="C96" s="698" t="s">
        <v>113</v>
      </c>
      <c r="D96" s="699">
        <v>10.62</v>
      </c>
      <c r="E96" s="700"/>
      <c r="F96" s="699">
        <v>12.3</v>
      </c>
      <c r="G96" s="668"/>
    </row>
    <row r="97" spans="1:10" ht="26.25" customHeight="1" x14ac:dyDescent="0.4">
      <c r="A97" s="248" t="s">
        <v>74</v>
      </c>
      <c r="B97" s="234">
        <v>1</v>
      </c>
      <c r="C97" s="335" t="s">
        <v>114</v>
      </c>
      <c r="D97" s="336">
        <f>D96*$B$87</f>
        <v>10.62</v>
      </c>
      <c r="E97" s="279"/>
      <c r="F97" s="278">
        <f>F96*$B$87</f>
        <v>12.3</v>
      </c>
    </row>
    <row r="98" spans="1:10" ht="19.5" customHeight="1" x14ac:dyDescent="0.3">
      <c r="A98" s="248" t="s">
        <v>76</v>
      </c>
      <c r="B98" s="337">
        <f>(B97/B96)*(B95/B94)*(B93/B92)*(B91/B90)*B89</f>
        <v>1000</v>
      </c>
      <c r="C98" s="335" t="s">
        <v>115</v>
      </c>
      <c r="D98" s="338">
        <f>D97*$B$83/100</f>
        <v>10.59876</v>
      </c>
      <c r="E98" s="282"/>
      <c r="F98" s="281">
        <f>F97*$B$83/100</f>
        <v>12.275399999999999</v>
      </c>
    </row>
    <row r="99" spans="1:10" ht="19.5" customHeight="1" x14ac:dyDescent="0.3">
      <c r="A99" s="577" t="s">
        <v>78</v>
      </c>
      <c r="B99" s="592"/>
      <c r="C99" s="335" t="s">
        <v>116</v>
      </c>
      <c r="D99" s="339">
        <f>D98/$B$98</f>
        <v>1.059876E-2</v>
      </c>
      <c r="E99" s="282"/>
      <c r="F99" s="285">
        <f>F98/$B$98</f>
        <v>1.2275399999999999E-2</v>
      </c>
      <c r="G99" s="340"/>
      <c r="H99" s="274"/>
    </row>
    <row r="100" spans="1:10" ht="19.5" customHeight="1" x14ac:dyDescent="0.3">
      <c r="A100" s="579"/>
      <c r="B100" s="593"/>
      <c r="C100" s="335" t="s">
        <v>80</v>
      </c>
      <c r="D100" s="341">
        <f>$B$56/$B$116</f>
        <v>0.02</v>
      </c>
      <c r="F100" s="290"/>
      <c r="G100" s="342"/>
      <c r="H100" s="274"/>
    </row>
    <row r="101" spans="1:10" ht="18.75" x14ac:dyDescent="0.3">
      <c r="C101" s="335" t="s">
        <v>81</v>
      </c>
      <c r="D101" s="336">
        <f>D100*$B$98</f>
        <v>20</v>
      </c>
      <c r="F101" s="290"/>
      <c r="G101" s="340"/>
      <c r="H101" s="274"/>
    </row>
    <row r="102" spans="1:10" ht="19.5" customHeight="1" x14ac:dyDescent="0.3">
      <c r="C102" s="343" t="s">
        <v>82</v>
      </c>
      <c r="D102" s="344">
        <f>D101/B34</f>
        <v>20</v>
      </c>
      <c r="F102" s="294"/>
      <c r="G102" s="340"/>
      <c r="H102" s="274"/>
      <c r="J102" s="345"/>
    </row>
    <row r="103" spans="1:10" ht="18.75" x14ac:dyDescent="0.3">
      <c r="C103" s="346" t="s">
        <v>117</v>
      </c>
      <c r="D103" s="347">
        <f>AVERAGE(E91:E94,G91:G94)</f>
        <v>11464608.940140782</v>
      </c>
      <c r="F103" s="294"/>
      <c r="G103" s="348"/>
      <c r="H103" s="274"/>
      <c r="J103" s="349"/>
    </row>
    <row r="104" spans="1:10" ht="18.75" x14ac:dyDescent="0.3">
      <c r="C104" s="324" t="s">
        <v>84</v>
      </c>
      <c r="D104" s="350">
        <f>STDEV(E91:E94,G91:G94)/D103</f>
        <v>1.1697009397938688E-2</v>
      </c>
      <c r="F104" s="294"/>
      <c r="G104" s="340"/>
      <c r="H104" s="274"/>
      <c r="J104" s="349"/>
    </row>
    <row r="105" spans="1:10" ht="19.5" customHeight="1" x14ac:dyDescent="0.3">
      <c r="C105" s="326" t="s">
        <v>20</v>
      </c>
      <c r="D105" s="351">
        <f>COUNT(E91:E94,G91:G94)</f>
        <v>6</v>
      </c>
      <c r="F105" s="294"/>
      <c r="G105" s="340"/>
      <c r="H105" s="274"/>
      <c r="J105" s="349"/>
    </row>
    <row r="106" spans="1:10" ht="19.5" customHeight="1" x14ac:dyDescent="0.3">
      <c r="A106" s="298"/>
      <c r="B106" s="298"/>
      <c r="C106" s="298"/>
      <c r="D106" s="298"/>
      <c r="E106" s="298"/>
    </row>
    <row r="107" spans="1:10" ht="26.25" customHeight="1" x14ac:dyDescent="0.4">
      <c r="A107" s="246" t="s">
        <v>118</v>
      </c>
      <c r="B107" s="247">
        <v>1000</v>
      </c>
      <c r="C107" s="352" t="s">
        <v>119</v>
      </c>
      <c r="D107" s="353" t="s">
        <v>63</v>
      </c>
      <c r="E107" s="354" t="s">
        <v>120</v>
      </c>
      <c r="F107" s="355" t="s">
        <v>121</v>
      </c>
    </row>
    <row r="108" spans="1:10" ht="26.25" customHeight="1" x14ac:dyDescent="0.4">
      <c r="A108" s="248" t="s">
        <v>122</v>
      </c>
      <c r="B108" s="249">
        <v>5</v>
      </c>
      <c r="C108" s="356">
        <v>1</v>
      </c>
      <c r="D108" s="357">
        <v>10822410</v>
      </c>
      <c r="E108" s="388">
        <f t="shared" ref="E108:E113" si="1">IF(ISBLANK(D108),"-",D108/$D$103*$D$100*$B$116)</f>
        <v>188.79684525667045</v>
      </c>
      <c r="F108" s="358">
        <f t="shared" ref="F108:F113" si="2">IF(ISBLANK(D108), "-", E108/$B$56)</f>
        <v>0.94398422628335221</v>
      </c>
    </row>
    <row r="109" spans="1:10" ht="26.25" customHeight="1" x14ac:dyDescent="0.4">
      <c r="A109" s="248" t="s">
        <v>95</v>
      </c>
      <c r="B109" s="249">
        <v>50</v>
      </c>
      <c r="C109" s="356">
        <v>2</v>
      </c>
      <c r="D109" s="357">
        <v>10958869</v>
      </c>
      <c r="E109" s="389">
        <f t="shared" si="1"/>
        <v>191.17737128616668</v>
      </c>
      <c r="F109" s="359">
        <f t="shared" si="2"/>
        <v>0.95588685643083338</v>
      </c>
    </row>
    <row r="110" spans="1:10" ht="26.25" customHeight="1" x14ac:dyDescent="0.4">
      <c r="A110" s="248" t="s">
        <v>96</v>
      </c>
      <c r="B110" s="249">
        <v>1</v>
      </c>
      <c r="C110" s="356">
        <v>3</v>
      </c>
      <c r="D110" s="357">
        <v>10733264</v>
      </c>
      <c r="E110" s="389">
        <f t="shared" si="1"/>
        <v>187.24169408726814</v>
      </c>
      <c r="F110" s="359">
        <f t="shared" si="2"/>
        <v>0.9362084704363407</v>
      </c>
    </row>
    <row r="111" spans="1:10" ht="26.25" customHeight="1" x14ac:dyDescent="0.4">
      <c r="A111" s="248" t="s">
        <v>97</v>
      </c>
      <c r="B111" s="249">
        <v>1</v>
      </c>
      <c r="C111" s="356">
        <v>4</v>
      </c>
      <c r="D111" s="357">
        <v>10978607</v>
      </c>
      <c r="E111" s="389">
        <f t="shared" si="1"/>
        <v>191.52170051890468</v>
      </c>
      <c r="F111" s="359">
        <f t="shared" si="2"/>
        <v>0.95760850259452335</v>
      </c>
    </row>
    <row r="112" spans="1:10" ht="26.25" customHeight="1" x14ac:dyDescent="0.4">
      <c r="A112" s="248" t="s">
        <v>98</v>
      </c>
      <c r="B112" s="249">
        <v>1</v>
      </c>
      <c r="C112" s="356">
        <v>5</v>
      </c>
      <c r="D112" s="357">
        <v>11245201</v>
      </c>
      <c r="E112" s="389">
        <f t="shared" si="1"/>
        <v>196.17243045469132</v>
      </c>
      <c r="F112" s="359">
        <f t="shared" si="2"/>
        <v>0.98086215227345663</v>
      </c>
    </row>
    <row r="113" spans="1:10" ht="26.25" customHeight="1" x14ac:dyDescent="0.4">
      <c r="A113" s="248" t="s">
        <v>100</v>
      </c>
      <c r="B113" s="249">
        <v>1</v>
      </c>
      <c r="C113" s="360">
        <v>6</v>
      </c>
      <c r="D113" s="361">
        <v>10145909</v>
      </c>
      <c r="E113" s="390">
        <f t="shared" si="1"/>
        <v>176.99529138715499</v>
      </c>
      <c r="F113" s="362">
        <f t="shared" si="2"/>
        <v>0.88497645693577498</v>
      </c>
    </row>
    <row r="114" spans="1:10" ht="26.25" customHeight="1" x14ac:dyDescent="0.4">
      <c r="A114" s="248" t="s">
        <v>101</v>
      </c>
      <c r="B114" s="249">
        <v>1</v>
      </c>
      <c r="C114" s="356"/>
      <c r="D114" s="321"/>
      <c r="E114" s="222"/>
      <c r="F114" s="363"/>
    </row>
    <row r="115" spans="1:10" ht="26.25" customHeight="1" x14ac:dyDescent="0.4">
      <c r="A115" s="248" t="s">
        <v>102</v>
      </c>
      <c r="B115" s="249">
        <v>1</v>
      </c>
      <c r="C115" s="356"/>
      <c r="D115" s="364" t="s">
        <v>71</v>
      </c>
      <c r="E115" s="392">
        <f>AVERAGE(E108:E113)</f>
        <v>188.6508888318094</v>
      </c>
      <c r="F115" s="365">
        <f>AVERAGE(F108:F113)</f>
        <v>0.94325444415904691</v>
      </c>
    </row>
    <row r="116" spans="1:10" ht="27" customHeight="1" x14ac:dyDescent="0.4">
      <c r="A116" s="248" t="s">
        <v>103</v>
      </c>
      <c r="B116" s="280">
        <f>(B115/B114)*(B113/B112)*(B111/B110)*(B109/B108)*B107</f>
        <v>10000</v>
      </c>
      <c r="C116" s="366"/>
      <c r="D116" s="334" t="s">
        <v>84</v>
      </c>
      <c r="E116" s="367">
        <f>STDEV(E108:E113)/E115</f>
        <v>3.4275981344657654E-2</v>
      </c>
      <c r="F116" s="367">
        <f>STDEV(F108:F113)/F115</f>
        <v>3.4275981344657647E-2</v>
      </c>
      <c r="I116" s="222"/>
    </row>
    <row r="117" spans="1:10" ht="27" customHeight="1" x14ac:dyDescent="0.4">
      <c r="A117" s="577" t="s">
        <v>78</v>
      </c>
      <c r="B117" s="578"/>
      <c r="C117" s="368"/>
      <c r="D117" s="369" t="s">
        <v>20</v>
      </c>
      <c r="E117" s="370">
        <f>COUNT(E108:E113)</f>
        <v>6</v>
      </c>
      <c r="F117" s="370">
        <f>COUNT(F108:F113)</f>
        <v>6</v>
      </c>
      <c r="I117" s="222"/>
      <c r="J117" s="349"/>
    </row>
    <row r="118" spans="1:10" ht="19.5" customHeight="1" x14ac:dyDescent="0.3">
      <c r="A118" s="579"/>
      <c r="B118" s="580"/>
      <c r="C118" s="222"/>
      <c r="D118" s="222"/>
      <c r="E118" s="222"/>
      <c r="F118" s="321"/>
      <c r="G118" s="222"/>
      <c r="H118" s="222"/>
      <c r="I118" s="222"/>
    </row>
    <row r="119" spans="1:10" ht="18.75" x14ac:dyDescent="0.3">
      <c r="A119" s="379"/>
      <c r="B119" s="244"/>
      <c r="C119" s="222"/>
      <c r="D119" s="222"/>
      <c r="E119" s="222"/>
      <c r="F119" s="321"/>
      <c r="G119" s="222"/>
      <c r="H119" s="222"/>
      <c r="I119" s="222"/>
    </row>
    <row r="120" spans="1:10" ht="26.25" customHeight="1" x14ac:dyDescent="0.4">
      <c r="A120" s="232" t="s">
        <v>106</v>
      </c>
      <c r="B120" s="328" t="s">
        <v>123</v>
      </c>
      <c r="C120" s="581" t="str">
        <f>B20</f>
        <v>Efavirenz, Tenofovir Disproxil Fumarate, Emtricitabine</v>
      </c>
      <c r="D120" s="581"/>
      <c r="E120" s="329" t="s">
        <v>124</v>
      </c>
      <c r="F120" s="329"/>
      <c r="G120" s="330">
        <f>F115</f>
        <v>0.94325444415904691</v>
      </c>
      <c r="H120" s="222"/>
      <c r="I120" s="222"/>
    </row>
    <row r="121" spans="1:10" ht="19.5" customHeight="1" x14ac:dyDescent="0.3">
      <c r="A121" s="371"/>
      <c r="B121" s="371"/>
      <c r="C121" s="372"/>
      <c r="D121" s="372"/>
      <c r="E121" s="372"/>
      <c r="F121" s="372"/>
      <c r="G121" s="372"/>
      <c r="H121" s="372"/>
    </row>
    <row r="122" spans="1:10" ht="18.75" x14ac:dyDescent="0.3">
      <c r="B122" s="582" t="s">
        <v>26</v>
      </c>
      <c r="C122" s="582"/>
      <c r="E122" s="333" t="s">
        <v>27</v>
      </c>
      <c r="F122" s="373"/>
      <c r="G122" s="582" t="s">
        <v>28</v>
      </c>
      <c r="H122" s="582"/>
    </row>
    <row r="123" spans="1:10" ht="69.95" customHeight="1" x14ac:dyDescent="0.3">
      <c r="A123" s="374" t="s">
        <v>29</v>
      </c>
      <c r="B123" s="375"/>
      <c r="C123" s="375"/>
      <c r="E123" s="375"/>
      <c r="F123" s="222"/>
      <c r="G123" s="376"/>
      <c r="H123" s="376"/>
    </row>
    <row r="124" spans="1:10" ht="69.95" customHeight="1" x14ac:dyDescent="0.3">
      <c r="A124" s="374" t="s">
        <v>30</v>
      </c>
      <c r="B124" s="377"/>
      <c r="C124" s="377"/>
      <c r="E124" s="377"/>
      <c r="F124" s="222"/>
      <c r="G124" s="378"/>
      <c r="H124" s="378"/>
    </row>
    <row r="125" spans="1:10" ht="18.75" x14ac:dyDescent="0.3">
      <c r="A125" s="320"/>
      <c r="B125" s="320"/>
      <c r="C125" s="321"/>
      <c r="D125" s="321"/>
      <c r="E125" s="321"/>
      <c r="F125" s="325"/>
      <c r="G125" s="321"/>
      <c r="H125" s="321"/>
      <c r="I125" s="222"/>
    </row>
    <row r="126" spans="1:10" ht="18.75" x14ac:dyDescent="0.3">
      <c r="A126" s="320"/>
      <c r="B126" s="320"/>
      <c r="C126" s="321"/>
      <c r="D126" s="321"/>
      <c r="E126" s="321"/>
      <c r="F126" s="325"/>
      <c r="G126" s="321"/>
      <c r="H126" s="321"/>
      <c r="I126" s="222"/>
    </row>
    <row r="127" spans="1:10" ht="18.75" x14ac:dyDescent="0.3">
      <c r="A127" s="320"/>
      <c r="B127" s="320"/>
      <c r="C127" s="321"/>
      <c r="D127" s="321"/>
      <c r="E127" s="321"/>
      <c r="F127" s="325"/>
      <c r="G127" s="321"/>
      <c r="H127" s="321"/>
      <c r="I127" s="222"/>
    </row>
    <row r="128" spans="1:10" ht="18.75" x14ac:dyDescent="0.3">
      <c r="A128" s="320"/>
      <c r="B128" s="320"/>
      <c r="C128" s="321"/>
      <c r="D128" s="321"/>
      <c r="E128" s="321"/>
      <c r="F128" s="325"/>
      <c r="G128" s="321"/>
      <c r="H128" s="321"/>
      <c r="I128" s="222"/>
    </row>
    <row r="129" spans="1:9" ht="18.75" x14ac:dyDescent="0.3">
      <c r="A129" s="320"/>
      <c r="B129" s="320"/>
      <c r="C129" s="321"/>
      <c r="D129" s="321"/>
      <c r="E129" s="321"/>
      <c r="F129" s="325"/>
      <c r="G129" s="321"/>
      <c r="H129" s="321"/>
      <c r="I129" s="222"/>
    </row>
    <row r="130" spans="1:9" ht="18.75" x14ac:dyDescent="0.3">
      <c r="A130" s="320"/>
      <c r="B130" s="320"/>
      <c r="C130" s="321"/>
      <c r="D130" s="321"/>
      <c r="E130" s="321"/>
      <c r="F130" s="325"/>
      <c r="G130" s="321"/>
      <c r="H130" s="321"/>
      <c r="I130" s="222"/>
    </row>
    <row r="131" spans="1:9" ht="18.75" x14ac:dyDescent="0.3">
      <c r="A131" s="320"/>
      <c r="B131" s="320"/>
      <c r="C131" s="321"/>
      <c r="D131" s="321"/>
      <c r="E131" s="321"/>
      <c r="F131" s="325"/>
      <c r="G131" s="321"/>
      <c r="H131" s="321"/>
      <c r="I131" s="222"/>
    </row>
    <row r="132" spans="1:9" ht="18.75" x14ac:dyDescent="0.3">
      <c r="A132" s="320"/>
      <c r="B132" s="320"/>
      <c r="C132" s="321"/>
      <c r="D132" s="321"/>
      <c r="E132" s="321"/>
      <c r="F132" s="325"/>
      <c r="G132" s="321"/>
      <c r="H132" s="321"/>
      <c r="I132" s="222"/>
    </row>
    <row r="133" spans="1:9" ht="18.75" x14ac:dyDescent="0.3">
      <c r="A133" s="320"/>
      <c r="B133" s="320"/>
      <c r="C133" s="321"/>
      <c r="D133" s="321"/>
      <c r="E133" s="321"/>
      <c r="F133" s="325"/>
      <c r="G133" s="321"/>
      <c r="H133" s="321"/>
      <c r="I133" s="222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5">
    <mergeCell ref="B26:C26"/>
    <mergeCell ref="A16:H16"/>
    <mergeCell ref="A17:H17"/>
    <mergeCell ref="B18:C18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1" zoomScale="60" zoomScaleNormal="40" zoomScalePageLayoutView="55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75" t="s">
        <v>45</v>
      </c>
      <c r="B1" s="575"/>
      <c r="C1" s="575"/>
      <c r="D1" s="575"/>
      <c r="E1" s="575"/>
      <c r="F1" s="575"/>
      <c r="G1" s="575"/>
      <c r="H1" s="575"/>
      <c r="I1" s="575"/>
    </row>
    <row r="2" spans="1:9" ht="18.75" customHeight="1" x14ac:dyDescent="0.25">
      <c r="A2" s="575"/>
      <c r="B2" s="575"/>
      <c r="C2" s="575"/>
      <c r="D2" s="575"/>
      <c r="E2" s="575"/>
      <c r="F2" s="575"/>
      <c r="G2" s="575"/>
      <c r="H2" s="575"/>
      <c r="I2" s="575"/>
    </row>
    <row r="3" spans="1:9" ht="18.75" customHeight="1" x14ac:dyDescent="0.25">
      <c r="A3" s="575"/>
      <c r="B3" s="575"/>
      <c r="C3" s="575"/>
      <c r="D3" s="575"/>
      <c r="E3" s="575"/>
      <c r="F3" s="575"/>
      <c r="G3" s="575"/>
      <c r="H3" s="575"/>
      <c r="I3" s="575"/>
    </row>
    <row r="4" spans="1:9" ht="18.75" customHeight="1" x14ac:dyDescent="0.25">
      <c r="A4" s="575"/>
      <c r="B4" s="575"/>
      <c r="C4" s="575"/>
      <c r="D4" s="575"/>
      <c r="E4" s="575"/>
      <c r="F4" s="575"/>
      <c r="G4" s="575"/>
      <c r="H4" s="575"/>
      <c r="I4" s="575"/>
    </row>
    <row r="5" spans="1:9" ht="18.75" customHeight="1" x14ac:dyDescent="0.25">
      <c r="A5" s="575"/>
      <c r="B5" s="575"/>
      <c r="C5" s="575"/>
      <c r="D5" s="575"/>
      <c r="E5" s="575"/>
      <c r="F5" s="575"/>
      <c r="G5" s="575"/>
      <c r="H5" s="575"/>
      <c r="I5" s="575"/>
    </row>
    <row r="6" spans="1:9" ht="18.75" customHeight="1" x14ac:dyDescent="0.25">
      <c r="A6" s="575"/>
      <c r="B6" s="575"/>
      <c r="C6" s="575"/>
      <c r="D6" s="575"/>
      <c r="E6" s="575"/>
      <c r="F6" s="575"/>
      <c r="G6" s="575"/>
      <c r="H6" s="575"/>
      <c r="I6" s="575"/>
    </row>
    <row r="7" spans="1:9" ht="18.75" customHeight="1" x14ac:dyDescent="0.25">
      <c r="A7" s="575"/>
      <c r="B7" s="575"/>
      <c r="C7" s="575"/>
      <c r="D7" s="575"/>
      <c r="E7" s="575"/>
      <c r="F7" s="575"/>
      <c r="G7" s="575"/>
      <c r="H7" s="575"/>
      <c r="I7" s="575"/>
    </row>
    <row r="8" spans="1:9" x14ac:dyDescent="0.25">
      <c r="A8" s="576" t="s">
        <v>46</v>
      </c>
      <c r="B8" s="576"/>
      <c r="C8" s="576"/>
      <c r="D8" s="576"/>
      <c r="E8" s="576"/>
      <c r="F8" s="576"/>
      <c r="G8" s="576"/>
      <c r="H8" s="576"/>
      <c r="I8" s="576"/>
    </row>
    <row r="9" spans="1:9" x14ac:dyDescent="0.25">
      <c r="A9" s="576"/>
      <c r="B9" s="576"/>
      <c r="C9" s="576"/>
      <c r="D9" s="576"/>
      <c r="E9" s="576"/>
      <c r="F9" s="576"/>
      <c r="G9" s="576"/>
      <c r="H9" s="576"/>
      <c r="I9" s="576"/>
    </row>
    <row r="10" spans="1:9" x14ac:dyDescent="0.25">
      <c r="A10" s="576"/>
      <c r="B10" s="576"/>
      <c r="C10" s="576"/>
      <c r="D10" s="576"/>
      <c r="E10" s="576"/>
      <c r="F10" s="576"/>
      <c r="G10" s="576"/>
      <c r="H10" s="576"/>
      <c r="I10" s="576"/>
    </row>
    <row r="11" spans="1:9" x14ac:dyDescent="0.25">
      <c r="A11" s="576"/>
      <c r="B11" s="576"/>
      <c r="C11" s="576"/>
      <c r="D11" s="576"/>
      <c r="E11" s="576"/>
      <c r="F11" s="576"/>
      <c r="G11" s="576"/>
      <c r="H11" s="576"/>
      <c r="I11" s="576"/>
    </row>
    <row r="12" spans="1:9" x14ac:dyDescent="0.25">
      <c r="A12" s="576"/>
      <c r="B12" s="576"/>
      <c r="C12" s="576"/>
      <c r="D12" s="576"/>
      <c r="E12" s="576"/>
      <c r="F12" s="576"/>
      <c r="G12" s="576"/>
      <c r="H12" s="576"/>
      <c r="I12" s="576"/>
    </row>
    <row r="13" spans="1:9" x14ac:dyDescent="0.25">
      <c r="A13" s="576"/>
      <c r="B13" s="576"/>
      <c r="C13" s="576"/>
      <c r="D13" s="576"/>
      <c r="E13" s="576"/>
      <c r="F13" s="576"/>
      <c r="G13" s="576"/>
      <c r="H13" s="576"/>
      <c r="I13" s="576"/>
    </row>
    <row r="14" spans="1:9" x14ac:dyDescent="0.25">
      <c r="A14" s="576"/>
      <c r="B14" s="576"/>
      <c r="C14" s="576"/>
      <c r="D14" s="576"/>
      <c r="E14" s="576"/>
      <c r="F14" s="576"/>
      <c r="G14" s="576"/>
      <c r="H14" s="576"/>
      <c r="I14" s="576"/>
    </row>
    <row r="15" spans="1:9" ht="19.5" customHeight="1" x14ac:dyDescent="0.3">
      <c r="A15" s="394"/>
    </row>
    <row r="16" spans="1:9" ht="19.5" customHeight="1" x14ac:dyDescent="0.3">
      <c r="A16" s="609" t="s">
        <v>31</v>
      </c>
      <c r="B16" s="610"/>
      <c r="C16" s="610"/>
      <c r="D16" s="610"/>
      <c r="E16" s="610"/>
      <c r="F16" s="610"/>
      <c r="G16" s="610"/>
      <c r="H16" s="611"/>
    </row>
    <row r="17" spans="1:14" ht="20.25" customHeight="1" x14ac:dyDescent="0.25">
      <c r="A17" s="612" t="s">
        <v>47</v>
      </c>
      <c r="B17" s="612"/>
      <c r="C17" s="612"/>
      <c r="D17" s="612"/>
      <c r="E17" s="612"/>
      <c r="F17" s="612"/>
      <c r="G17" s="612"/>
      <c r="H17" s="612"/>
    </row>
    <row r="18" spans="1:14" ht="26.25" customHeight="1" x14ac:dyDescent="0.4">
      <c r="A18" s="396" t="s">
        <v>33</v>
      </c>
      <c r="B18" s="608" t="s">
        <v>5</v>
      </c>
      <c r="C18" s="608"/>
      <c r="D18" s="552"/>
      <c r="E18" s="397"/>
      <c r="F18" s="398"/>
      <c r="G18" s="398"/>
      <c r="H18" s="398"/>
    </row>
    <row r="19" spans="1:14" ht="26.25" customHeight="1" x14ac:dyDescent="0.4">
      <c r="A19" s="396" t="s">
        <v>34</v>
      </c>
      <c r="B19" s="399" t="s">
        <v>7</v>
      </c>
      <c r="C19" s="565">
        <v>29</v>
      </c>
      <c r="D19" s="398"/>
      <c r="E19" s="398"/>
      <c r="F19" s="398"/>
      <c r="G19" s="398"/>
      <c r="H19" s="398"/>
    </row>
    <row r="20" spans="1:14" ht="26.25" customHeight="1" x14ac:dyDescent="0.4">
      <c r="A20" s="396" t="s">
        <v>35</v>
      </c>
      <c r="B20" s="662" t="s">
        <v>9</v>
      </c>
      <c r="C20" s="660"/>
      <c r="D20" s="702"/>
      <c r="E20" s="702"/>
      <c r="F20" s="702"/>
      <c r="G20" s="702"/>
      <c r="H20" s="702"/>
    </row>
    <row r="21" spans="1:14" ht="26.25" customHeight="1" x14ac:dyDescent="0.4">
      <c r="A21" s="396" t="s">
        <v>36</v>
      </c>
      <c r="B21" s="606" t="s">
        <v>11</v>
      </c>
      <c r="C21" s="606"/>
      <c r="D21" s="606"/>
      <c r="E21" s="606"/>
      <c r="F21" s="606"/>
      <c r="G21" s="606"/>
      <c r="H21" s="606"/>
      <c r="I21" s="400"/>
    </row>
    <row r="22" spans="1:14" ht="26.25" customHeight="1" x14ac:dyDescent="0.4">
      <c r="A22" s="396" t="s">
        <v>37</v>
      </c>
      <c r="B22" s="401" t="s">
        <v>12</v>
      </c>
      <c r="C22" s="398"/>
      <c r="D22" s="398"/>
      <c r="E22" s="398"/>
      <c r="F22" s="398"/>
      <c r="G22" s="398"/>
      <c r="H22" s="398"/>
    </row>
    <row r="23" spans="1:14" ht="26.25" customHeight="1" x14ac:dyDescent="0.4">
      <c r="A23" s="396" t="s">
        <v>38</v>
      </c>
      <c r="B23" s="401"/>
      <c r="C23" s="398"/>
      <c r="D23" s="398"/>
      <c r="E23" s="398"/>
      <c r="F23" s="398"/>
      <c r="G23" s="398"/>
      <c r="H23" s="398"/>
    </row>
    <row r="24" spans="1:14" ht="18.75" x14ac:dyDescent="0.3">
      <c r="A24" s="396"/>
      <c r="B24" s="402"/>
    </row>
    <row r="25" spans="1:14" ht="18.75" x14ac:dyDescent="0.3">
      <c r="A25" s="403" t="s">
        <v>1</v>
      </c>
      <c r="B25" s="402"/>
    </row>
    <row r="26" spans="1:14" ht="26.25" customHeight="1" x14ac:dyDescent="0.4">
      <c r="A26" s="404" t="s">
        <v>4</v>
      </c>
      <c r="B26" s="664" t="s">
        <v>140</v>
      </c>
      <c r="C26" s="608"/>
    </row>
    <row r="27" spans="1:14" ht="26.25" customHeight="1" x14ac:dyDescent="0.4">
      <c r="A27" s="405" t="s">
        <v>48</v>
      </c>
      <c r="B27" s="665" t="s">
        <v>141</v>
      </c>
      <c r="C27" s="606"/>
    </row>
    <row r="28" spans="1:14" ht="27" customHeight="1" x14ac:dyDescent="0.4">
      <c r="A28" s="405" t="s">
        <v>6</v>
      </c>
      <c r="B28" s="406">
        <v>98.8</v>
      </c>
    </row>
    <row r="29" spans="1:14" s="3" customFormat="1" ht="27" customHeight="1" x14ac:dyDescent="0.4">
      <c r="A29" s="405" t="s">
        <v>49</v>
      </c>
      <c r="B29" s="407">
        <v>0</v>
      </c>
      <c r="C29" s="583" t="s">
        <v>50</v>
      </c>
      <c r="D29" s="584"/>
      <c r="E29" s="584"/>
      <c r="F29" s="584"/>
      <c r="G29" s="585"/>
      <c r="I29" s="408"/>
      <c r="J29" s="408"/>
      <c r="K29" s="408"/>
      <c r="L29" s="408"/>
    </row>
    <row r="30" spans="1:14" s="3" customFormat="1" ht="19.5" customHeight="1" x14ac:dyDescent="0.3">
      <c r="A30" s="405" t="s">
        <v>51</v>
      </c>
      <c r="B30" s="409">
        <f>B28-B29</f>
        <v>98.8</v>
      </c>
      <c r="C30" s="410"/>
      <c r="D30" s="410"/>
      <c r="E30" s="410"/>
      <c r="F30" s="410"/>
      <c r="G30" s="411"/>
      <c r="I30" s="408"/>
      <c r="J30" s="408"/>
      <c r="K30" s="408"/>
      <c r="L30" s="408"/>
    </row>
    <row r="31" spans="1:14" s="3" customFormat="1" ht="27" customHeight="1" x14ac:dyDescent="0.4">
      <c r="A31" s="405" t="s">
        <v>52</v>
      </c>
      <c r="B31" s="412">
        <v>1</v>
      </c>
      <c r="C31" s="586" t="s">
        <v>53</v>
      </c>
      <c r="D31" s="587"/>
      <c r="E31" s="587"/>
      <c r="F31" s="587"/>
      <c r="G31" s="587"/>
      <c r="H31" s="588"/>
      <c r="I31" s="408"/>
      <c r="J31" s="408"/>
      <c r="K31" s="408"/>
      <c r="L31" s="408"/>
    </row>
    <row r="32" spans="1:14" s="3" customFormat="1" ht="27" customHeight="1" x14ac:dyDescent="0.4">
      <c r="A32" s="405" t="s">
        <v>54</v>
      </c>
      <c r="B32" s="412">
        <v>1</v>
      </c>
      <c r="C32" s="586" t="s">
        <v>55</v>
      </c>
      <c r="D32" s="587"/>
      <c r="E32" s="587"/>
      <c r="F32" s="587"/>
      <c r="G32" s="587"/>
      <c r="H32" s="588"/>
      <c r="I32" s="408"/>
      <c r="J32" s="408"/>
      <c r="K32" s="408"/>
      <c r="L32" s="413"/>
      <c r="M32" s="413"/>
      <c r="N32" s="414"/>
    </row>
    <row r="33" spans="1:14" s="3" customFormat="1" ht="17.25" customHeight="1" x14ac:dyDescent="0.3">
      <c r="A33" s="405"/>
      <c r="B33" s="415"/>
      <c r="C33" s="416"/>
      <c r="D33" s="416"/>
      <c r="E33" s="416"/>
      <c r="F33" s="416"/>
      <c r="G33" s="416"/>
      <c r="H33" s="416"/>
      <c r="I33" s="408"/>
      <c r="J33" s="408"/>
      <c r="K33" s="408"/>
      <c r="L33" s="413"/>
      <c r="M33" s="413"/>
      <c r="N33" s="414"/>
    </row>
    <row r="34" spans="1:14" s="3" customFormat="1" ht="18.75" x14ac:dyDescent="0.3">
      <c r="A34" s="405" t="s">
        <v>56</v>
      </c>
      <c r="B34" s="417">
        <f>B31/B32</f>
        <v>1</v>
      </c>
      <c r="C34" s="395" t="s">
        <v>57</v>
      </c>
      <c r="D34" s="395"/>
      <c r="E34" s="395"/>
      <c r="F34" s="395"/>
      <c r="G34" s="395"/>
      <c r="I34" s="408"/>
      <c r="J34" s="408"/>
      <c r="K34" s="408"/>
      <c r="L34" s="413"/>
      <c r="M34" s="413"/>
      <c r="N34" s="414"/>
    </row>
    <row r="35" spans="1:14" s="3" customFormat="1" ht="19.5" customHeight="1" x14ac:dyDescent="0.3">
      <c r="A35" s="405"/>
      <c r="B35" s="409"/>
      <c r="G35" s="395"/>
      <c r="I35" s="408"/>
      <c r="J35" s="408"/>
      <c r="K35" s="408"/>
      <c r="L35" s="413"/>
      <c r="M35" s="413"/>
      <c r="N35" s="414"/>
    </row>
    <row r="36" spans="1:14" s="3" customFormat="1" ht="27" customHeight="1" x14ac:dyDescent="0.4">
      <c r="A36" s="418" t="s">
        <v>58</v>
      </c>
      <c r="B36" s="419">
        <v>50</v>
      </c>
      <c r="C36" s="395"/>
      <c r="D36" s="589" t="s">
        <v>59</v>
      </c>
      <c r="E36" s="607"/>
      <c r="F36" s="589" t="s">
        <v>60</v>
      </c>
      <c r="G36" s="590"/>
      <c r="J36" s="408"/>
      <c r="K36" s="408"/>
      <c r="L36" s="413"/>
      <c r="M36" s="413"/>
      <c r="N36" s="414"/>
    </row>
    <row r="37" spans="1:14" s="3" customFormat="1" ht="27" customHeight="1" x14ac:dyDescent="0.4">
      <c r="A37" s="420" t="s">
        <v>61</v>
      </c>
      <c r="B37" s="421">
        <v>10</v>
      </c>
      <c r="C37" s="422" t="s">
        <v>62</v>
      </c>
      <c r="D37" s="423" t="s">
        <v>63</v>
      </c>
      <c r="E37" s="424" t="s">
        <v>64</v>
      </c>
      <c r="F37" s="423" t="s">
        <v>63</v>
      </c>
      <c r="G37" s="425" t="s">
        <v>64</v>
      </c>
      <c r="I37" s="426" t="s">
        <v>65</v>
      </c>
      <c r="J37" s="408"/>
      <c r="K37" s="408"/>
      <c r="L37" s="413"/>
      <c r="M37" s="413"/>
      <c r="N37" s="414"/>
    </row>
    <row r="38" spans="1:14" s="3" customFormat="1" ht="26.25" customHeight="1" x14ac:dyDescent="0.4">
      <c r="A38" s="420" t="s">
        <v>66</v>
      </c>
      <c r="B38" s="421">
        <v>20</v>
      </c>
      <c r="C38" s="427">
        <v>1</v>
      </c>
      <c r="D38" s="428">
        <v>35931958</v>
      </c>
      <c r="E38" s="429">
        <f>IF(ISBLANK(D38),"-",$D$48/$D$45*D38)</f>
        <v>4443296.0956029473</v>
      </c>
      <c r="F38" s="428">
        <v>34537549</v>
      </c>
      <c r="G38" s="430">
        <f>IF(ISBLANK(F38),"-",$D$48/$F$45*F38)</f>
        <v>4455963.4672797602</v>
      </c>
      <c r="I38" s="431"/>
      <c r="J38" s="408"/>
      <c r="K38" s="408"/>
      <c r="L38" s="413"/>
      <c r="M38" s="413"/>
      <c r="N38" s="414"/>
    </row>
    <row r="39" spans="1:14" s="3" customFormat="1" ht="26.25" customHeight="1" x14ac:dyDescent="0.4">
      <c r="A39" s="420" t="s">
        <v>67</v>
      </c>
      <c r="B39" s="421">
        <v>1</v>
      </c>
      <c r="C39" s="432">
        <v>2</v>
      </c>
      <c r="D39" s="433">
        <v>35467757</v>
      </c>
      <c r="E39" s="434">
        <f>IF(ISBLANK(D39),"-",$D$48/$D$45*D39)</f>
        <v>4385893.6436999645</v>
      </c>
      <c r="F39" s="433">
        <v>34587964</v>
      </c>
      <c r="G39" s="435">
        <f>IF(ISBLANK(F39),"-",$D$48/$F$45*F39)</f>
        <v>4462467.9067871189</v>
      </c>
      <c r="I39" s="591">
        <f>ABS((F43/D43*D42)-F42)/D42</f>
        <v>8.8539785708008269E-3</v>
      </c>
      <c r="J39" s="408"/>
      <c r="K39" s="408"/>
      <c r="L39" s="413"/>
      <c r="M39" s="413"/>
      <c r="N39" s="414"/>
    </row>
    <row r="40" spans="1:14" ht="26.25" customHeight="1" x14ac:dyDescent="0.4">
      <c r="A40" s="420" t="s">
        <v>68</v>
      </c>
      <c r="B40" s="421">
        <v>1</v>
      </c>
      <c r="C40" s="432">
        <v>3</v>
      </c>
      <c r="D40" s="433">
        <v>36457816</v>
      </c>
      <c r="E40" s="434">
        <f>IF(ISBLANK(D40),"-",$D$48/$D$45*D40)</f>
        <v>4508322.966619594</v>
      </c>
      <c r="F40" s="433">
        <v>35206649</v>
      </c>
      <c r="G40" s="435">
        <f>IF(ISBLANK(F40),"-",$D$48/$F$45*F40)</f>
        <v>4542289.3717600377</v>
      </c>
      <c r="I40" s="591"/>
      <c r="L40" s="413"/>
      <c r="M40" s="413"/>
      <c r="N40" s="436"/>
    </row>
    <row r="41" spans="1:14" ht="27" customHeight="1" x14ac:dyDescent="0.4">
      <c r="A41" s="420" t="s">
        <v>69</v>
      </c>
      <c r="B41" s="421">
        <v>1</v>
      </c>
      <c r="C41" s="437">
        <v>4</v>
      </c>
      <c r="D41" s="438"/>
      <c r="E41" s="439" t="str">
        <f>IF(ISBLANK(D41),"-",$D$48/$D$45*D41)</f>
        <v>-</v>
      </c>
      <c r="F41" s="438"/>
      <c r="G41" s="440" t="str">
        <f>IF(ISBLANK(F41),"-",$D$48/$F$45*F41)</f>
        <v>-</v>
      </c>
      <c r="I41" s="441"/>
      <c r="L41" s="413"/>
      <c r="M41" s="413"/>
      <c r="N41" s="436"/>
    </row>
    <row r="42" spans="1:14" ht="27" customHeight="1" x14ac:dyDescent="0.4">
      <c r="A42" s="420" t="s">
        <v>70</v>
      </c>
      <c r="B42" s="421">
        <v>1</v>
      </c>
      <c r="C42" s="442" t="s">
        <v>71</v>
      </c>
      <c r="D42" s="443">
        <f>AVERAGE(D38:D41)</f>
        <v>35952510.333333336</v>
      </c>
      <c r="E42" s="444">
        <f>AVERAGE(E38:E41)</f>
        <v>4445837.5686408347</v>
      </c>
      <c r="F42" s="443">
        <f>AVERAGE(F38:F41)</f>
        <v>34777387.333333336</v>
      </c>
      <c r="G42" s="445">
        <f>AVERAGE(G38:G41)</f>
        <v>4486906.915275638</v>
      </c>
      <c r="H42" s="446"/>
    </row>
    <row r="43" spans="1:14" ht="26.25" customHeight="1" x14ac:dyDescent="0.4">
      <c r="A43" s="420" t="s">
        <v>72</v>
      </c>
      <c r="B43" s="421">
        <v>1</v>
      </c>
      <c r="C43" s="447" t="s">
        <v>73</v>
      </c>
      <c r="D43" s="448">
        <v>16.37</v>
      </c>
      <c r="E43" s="436"/>
      <c r="F43" s="448">
        <v>15.69</v>
      </c>
      <c r="H43" s="446"/>
    </row>
    <row r="44" spans="1:14" ht="26.25" customHeight="1" x14ac:dyDescent="0.4">
      <c r="A44" s="420" t="s">
        <v>74</v>
      </c>
      <c r="B44" s="421">
        <v>1</v>
      </c>
      <c r="C44" s="449" t="s">
        <v>75</v>
      </c>
      <c r="D44" s="450">
        <f>D43*$B$34</f>
        <v>16.37</v>
      </c>
      <c r="E44" s="451"/>
      <c r="F44" s="450">
        <f>F43*$B$34</f>
        <v>15.69</v>
      </c>
      <c r="H44" s="446"/>
    </row>
    <row r="45" spans="1:14" ht="19.5" customHeight="1" x14ac:dyDescent="0.3">
      <c r="A45" s="420" t="s">
        <v>76</v>
      </c>
      <c r="B45" s="452">
        <f>(B44/B43)*(B42/B41)*(B40/B39)*(B38/B37)*B36</f>
        <v>100</v>
      </c>
      <c r="C45" s="449" t="s">
        <v>77</v>
      </c>
      <c r="D45" s="453">
        <f>D44*$B$30/100</f>
        <v>16.173559999999998</v>
      </c>
      <c r="E45" s="454"/>
      <c r="F45" s="453">
        <f>F44*$B$30/100</f>
        <v>15.501719999999999</v>
      </c>
      <c r="H45" s="446"/>
    </row>
    <row r="46" spans="1:14" ht="19.5" customHeight="1" x14ac:dyDescent="0.3">
      <c r="A46" s="577" t="s">
        <v>78</v>
      </c>
      <c r="B46" s="578"/>
      <c r="C46" s="449" t="s">
        <v>79</v>
      </c>
      <c r="D46" s="455">
        <f>D45/$B$45</f>
        <v>0.16173559999999998</v>
      </c>
      <c r="E46" s="456"/>
      <c r="F46" s="457">
        <f>F45/$B$45</f>
        <v>0.15501719999999999</v>
      </c>
      <c r="H46" s="446"/>
    </row>
    <row r="47" spans="1:14" ht="27" customHeight="1" x14ac:dyDescent="0.4">
      <c r="A47" s="579"/>
      <c r="B47" s="580"/>
      <c r="C47" s="458" t="s">
        <v>80</v>
      </c>
      <c r="D47" s="459">
        <v>0.02</v>
      </c>
      <c r="E47" s="460"/>
      <c r="F47" s="456"/>
      <c r="H47" s="446"/>
    </row>
    <row r="48" spans="1:14" ht="18.75" x14ac:dyDescent="0.3">
      <c r="C48" s="461" t="s">
        <v>81</v>
      </c>
      <c r="D48" s="453">
        <f>D47*$B$45</f>
        <v>2</v>
      </c>
      <c r="F48" s="462"/>
      <c r="H48" s="446"/>
    </row>
    <row r="49" spans="1:12" ht="19.5" customHeight="1" x14ac:dyDescent="0.3">
      <c r="C49" s="463" t="s">
        <v>82</v>
      </c>
      <c r="D49" s="464">
        <f>D48/B34</f>
        <v>2</v>
      </c>
      <c r="F49" s="462"/>
      <c r="H49" s="446"/>
    </row>
    <row r="50" spans="1:12" ht="18.75" x14ac:dyDescent="0.3">
      <c r="C50" s="418" t="s">
        <v>83</v>
      </c>
      <c r="D50" s="465">
        <f>AVERAGE(E38:E41,G38:G41)</f>
        <v>4466372.2419582373</v>
      </c>
      <c r="F50" s="466"/>
      <c r="H50" s="446"/>
    </row>
    <row r="51" spans="1:12" ht="18.75" x14ac:dyDescent="0.3">
      <c r="C51" s="420" t="s">
        <v>84</v>
      </c>
      <c r="D51" s="467">
        <f>STDEV(E38:E41,G38:G41)/D50</f>
        <v>1.212189122983624E-2</v>
      </c>
      <c r="F51" s="466"/>
      <c r="H51" s="446"/>
    </row>
    <row r="52" spans="1:12" ht="19.5" customHeight="1" x14ac:dyDescent="0.3">
      <c r="C52" s="468" t="s">
        <v>20</v>
      </c>
      <c r="D52" s="469">
        <f>COUNT(E38:E41,G38:G41)</f>
        <v>6</v>
      </c>
      <c r="F52" s="466"/>
    </row>
    <row r="54" spans="1:12" ht="18.75" x14ac:dyDescent="0.3">
      <c r="A54" s="470" t="s">
        <v>1</v>
      </c>
      <c r="B54" s="471" t="s">
        <v>85</v>
      </c>
    </row>
    <row r="55" spans="1:12" ht="18.75" x14ac:dyDescent="0.3">
      <c r="A55" s="395" t="s">
        <v>86</v>
      </c>
      <c r="B55" s="472" t="str">
        <f>B21</f>
        <v>Each film coated tablet contains:
Efavirens USP 600 mg
Emtricitabine 200 mg
Tenofovir Disproxil Fumarate equivalent to Tenofovir Disproxil 245 mg</v>
      </c>
    </row>
    <row r="56" spans="1:12" ht="26.25" customHeight="1" x14ac:dyDescent="0.4">
      <c r="A56" s="473" t="s">
        <v>87</v>
      </c>
      <c r="B56" s="474">
        <v>300</v>
      </c>
      <c r="C56" s="395" t="str">
        <f>B20</f>
        <v>Efavirenz, Tenofovir Disproxil Fumarate, Emtritabine</v>
      </c>
      <c r="H56" s="475"/>
    </row>
    <row r="57" spans="1:12" ht="18.75" x14ac:dyDescent="0.3">
      <c r="A57" s="472" t="s">
        <v>88</v>
      </c>
      <c r="B57" s="553">
        <f>Uniformity!C46</f>
        <v>1484.4985000000004</v>
      </c>
      <c r="H57" s="475"/>
    </row>
    <row r="58" spans="1:12" ht="19.5" customHeight="1" x14ac:dyDescent="0.3">
      <c r="H58" s="475"/>
    </row>
    <row r="59" spans="1:12" s="3" customFormat="1" ht="27" customHeight="1" x14ac:dyDescent="0.4">
      <c r="A59" s="418" t="s">
        <v>89</v>
      </c>
      <c r="B59" s="419">
        <v>100</v>
      </c>
      <c r="C59" s="395"/>
      <c r="D59" s="476" t="s">
        <v>90</v>
      </c>
      <c r="E59" s="477" t="s">
        <v>62</v>
      </c>
      <c r="F59" s="477" t="s">
        <v>63</v>
      </c>
      <c r="G59" s="477" t="s">
        <v>91</v>
      </c>
      <c r="H59" s="422" t="s">
        <v>92</v>
      </c>
      <c r="L59" s="408"/>
    </row>
    <row r="60" spans="1:12" s="3" customFormat="1" ht="26.25" customHeight="1" x14ac:dyDescent="0.4">
      <c r="A60" s="420" t="s">
        <v>93</v>
      </c>
      <c r="B60" s="421">
        <v>5</v>
      </c>
      <c r="C60" s="594" t="s">
        <v>94</v>
      </c>
      <c r="D60" s="597">
        <f>EMCITRABINE!D60</f>
        <v>684.69</v>
      </c>
      <c r="E60" s="478">
        <v>1</v>
      </c>
      <c r="F60" s="479">
        <v>31509693</v>
      </c>
      <c r="G60" s="554">
        <f>IF(ISBLANK(F60),"-",(F60/$D$50*$D$47*$B$68)*($B$57/$D$60))</f>
        <v>305.91799898853697</v>
      </c>
      <c r="H60" s="480">
        <f t="shared" ref="H60:H71" si="0">IF(ISBLANK(F60),"-",G60/$B$56)</f>
        <v>1.0197266632951232</v>
      </c>
      <c r="L60" s="408"/>
    </row>
    <row r="61" spans="1:12" s="3" customFormat="1" ht="26.25" customHeight="1" x14ac:dyDescent="0.4">
      <c r="A61" s="420" t="s">
        <v>95</v>
      </c>
      <c r="B61" s="421">
        <v>50</v>
      </c>
      <c r="C61" s="595"/>
      <c r="D61" s="598"/>
      <c r="E61" s="481">
        <v>2</v>
      </c>
      <c r="F61" s="433">
        <v>32168837</v>
      </c>
      <c r="G61" s="555">
        <f>IF(ISBLANK(F61),"-",(F61/$D$50*$D$47*$B$68)*($B$57/$D$60))</f>
        <v>312.31742704787411</v>
      </c>
      <c r="H61" s="482">
        <f t="shared" si="0"/>
        <v>1.0410580901595803</v>
      </c>
      <c r="L61" s="408"/>
    </row>
    <row r="62" spans="1:12" s="3" customFormat="1" ht="26.25" customHeight="1" x14ac:dyDescent="0.4">
      <c r="A62" s="420" t="s">
        <v>96</v>
      </c>
      <c r="B62" s="421">
        <v>1</v>
      </c>
      <c r="C62" s="595"/>
      <c r="D62" s="598"/>
      <c r="E62" s="481">
        <v>3</v>
      </c>
      <c r="F62" s="483">
        <v>31991233</v>
      </c>
      <c r="G62" s="555">
        <f>IF(ISBLANK(F62),"-",(F62/$D$50*$D$47*$B$68)*($B$57/$D$60))</f>
        <v>310.59312398048593</v>
      </c>
      <c r="H62" s="482">
        <f t="shared" si="0"/>
        <v>1.0353104132682864</v>
      </c>
      <c r="L62" s="408"/>
    </row>
    <row r="63" spans="1:12" ht="27" customHeight="1" x14ac:dyDescent="0.4">
      <c r="A63" s="420" t="s">
        <v>97</v>
      </c>
      <c r="B63" s="421">
        <v>1</v>
      </c>
      <c r="C63" s="605"/>
      <c r="D63" s="599"/>
      <c r="E63" s="484">
        <v>4</v>
      </c>
      <c r="F63" s="485"/>
      <c r="G63" s="555" t="str">
        <f>IF(ISBLANK(F63),"-",(F63/$D$50*$D$47*$B$68)*($B$57/$D$60))</f>
        <v>-</v>
      </c>
      <c r="H63" s="482" t="str">
        <f t="shared" si="0"/>
        <v>-</v>
      </c>
    </row>
    <row r="64" spans="1:12" ht="26.25" customHeight="1" x14ac:dyDescent="0.4">
      <c r="A64" s="420" t="s">
        <v>98</v>
      </c>
      <c r="B64" s="421">
        <v>1</v>
      </c>
      <c r="C64" s="594" t="s">
        <v>99</v>
      </c>
      <c r="D64" s="597">
        <f>EMCITRABINE!D64</f>
        <v>704.35</v>
      </c>
      <c r="E64" s="478">
        <v>1</v>
      </c>
      <c r="F64" s="479">
        <v>32150111</v>
      </c>
      <c r="G64" s="556">
        <f>IF(ISBLANK(F64),"-",(F64/$D$50*$D$47*$B$68)*($B$57/$D$64))</f>
        <v>303.42321153469385</v>
      </c>
      <c r="H64" s="486">
        <f t="shared" si="0"/>
        <v>1.0114107051156462</v>
      </c>
    </row>
    <row r="65" spans="1:8" ht="26.25" customHeight="1" x14ac:dyDescent="0.4">
      <c r="A65" s="420" t="s">
        <v>100</v>
      </c>
      <c r="B65" s="421">
        <v>1</v>
      </c>
      <c r="C65" s="595"/>
      <c r="D65" s="598"/>
      <c r="E65" s="481">
        <v>2</v>
      </c>
      <c r="F65" s="433">
        <v>32211751</v>
      </c>
      <c r="G65" s="557">
        <f>IF(ISBLANK(F65),"-",(F65/$D$50*$D$47*$B$68)*($B$57/$D$64))</f>
        <v>304.00495157157889</v>
      </c>
      <c r="H65" s="487">
        <f t="shared" si="0"/>
        <v>1.0133498385719297</v>
      </c>
    </row>
    <row r="66" spans="1:8" ht="26.25" customHeight="1" x14ac:dyDescent="0.4">
      <c r="A66" s="420" t="s">
        <v>101</v>
      </c>
      <c r="B66" s="421">
        <v>1</v>
      </c>
      <c r="C66" s="595"/>
      <c r="D66" s="598"/>
      <c r="E66" s="481">
        <v>3</v>
      </c>
      <c r="F66" s="433">
        <v>32584060</v>
      </c>
      <c r="G66" s="557">
        <f>IF(ISBLANK(F66),"-",(F66/$D$50*$D$47*$B$68)*($B$57/$D$64))</f>
        <v>307.51869348255605</v>
      </c>
      <c r="H66" s="487">
        <f t="shared" si="0"/>
        <v>1.0250623116085202</v>
      </c>
    </row>
    <row r="67" spans="1:8" ht="27" customHeight="1" x14ac:dyDescent="0.4">
      <c r="A67" s="420" t="s">
        <v>102</v>
      </c>
      <c r="B67" s="421">
        <v>1</v>
      </c>
      <c r="C67" s="605"/>
      <c r="D67" s="599"/>
      <c r="E67" s="484">
        <v>4</v>
      </c>
      <c r="F67" s="485"/>
      <c r="G67" s="558" t="str">
        <f>IF(ISBLANK(F67),"-",(F67/$D$50*$D$47*$B$68)*($B$57/$D$64))</f>
        <v>-</v>
      </c>
      <c r="H67" s="488" t="str">
        <f t="shared" si="0"/>
        <v>-</v>
      </c>
    </row>
    <row r="68" spans="1:8" ht="26.25" customHeight="1" x14ac:dyDescent="0.4">
      <c r="A68" s="420" t="s">
        <v>103</v>
      </c>
      <c r="B68" s="489">
        <f>(B67/B66)*(B65/B64)*(B63/B62)*(B61/B60)*B59</f>
        <v>1000</v>
      </c>
      <c r="C68" s="594" t="s">
        <v>104</v>
      </c>
      <c r="D68" s="597">
        <f>EMCITRABINE!D68</f>
        <v>761.81</v>
      </c>
      <c r="E68" s="478">
        <v>1</v>
      </c>
      <c r="F68" s="479">
        <v>34210914</v>
      </c>
      <c r="G68" s="556">
        <f>IF(ISBLANK(F68),"-",(F68/$D$50*$D$47*$B$68)*($B$57/$D$68))</f>
        <v>298.51960001917701</v>
      </c>
      <c r="H68" s="482">
        <f t="shared" si="0"/>
        <v>0.99506533339725667</v>
      </c>
    </row>
    <row r="69" spans="1:8" ht="27" customHeight="1" x14ac:dyDescent="0.4">
      <c r="A69" s="468" t="s">
        <v>105</v>
      </c>
      <c r="B69" s="490">
        <f>(D47*B68)/B56*B57</f>
        <v>98.966566666666694</v>
      </c>
      <c r="C69" s="595"/>
      <c r="D69" s="598"/>
      <c r="E69" s="481">
        <v>2</v>
      </c>
      <c r="F69" s="433">
        <v>34274721</v>
      </c>
      <c r="G69" s="557">
        <f>IF(ISBLANK(F69),"-",(F69/$D$50*$D$47*$B$68)*($B$57/$D$68))</f>
        <v>299.07637088237072</v>
      </c>
      <c r="H69" s="482">
        <f t="shared" si="0"/>
        <v>0.99692123627456908</v>
      </c>
    </row>
    <row r="70" spans="1:8" ht="26.25" customHeight="1" x14ac:dyDescent="0.4">
      <c r="A70" s="600" t="s">
        <v>78</v>
      </c>
      <c r="B70" s="601"/>
      <c r="C70" s="595"/>
      <c r="D70" s="598"/>
      <c r="E70" s="481">
        <v>3</v>
      </c>
      <c r="F70" s="433">
        <v>34537942</v>
      </c>
      <c r="G70" s="557">
        <f>IF(ISBLANK(F70),"-",(F70/$D$50*$D$47*$B$68)*($B$57/$D$68))</f>
        <v>301.37320012337392</v>
      </c>
      <c r="H70" s="482">
        <f t="shared" si="0"/>
        <v>1.0045773337445798</v>
      </c>
    </row>
    <row r="71" spans="1:8" ht="27" customHeight="1" x14ac:dyDescent="0.4">
      <c r="A71" s="602"/>
      <c r="B71" s="603"/>
      <c r="C71" s="596"/>
      <c r="D71" s="599"/>
      <c r="E71" s="484">
        <v>4</v>
      </c>
      <c r="F71" s="485"/>
      <c r="G71" s="558" t="str">
        <f>IF(ISBLANK(F71),"-",(F71/$D$50*$D$47*$B$68)*($B$57/$D$68))</f>
        <v>-</v>
      </c>
      <c r="H71" s="491" t="str">
        <f t="shared" si="0"/>
        <v>-</v>
      </c>
    </row>
    <row r="72" spans="1:8" ht="26.25" customHeight="1" x14ac:dyDescent="0.4">
      <c r="A72" s="492"/>
      <c r="B72" s="492"/>
      <c r="C72" s="492"/>
      <c r="D72" s="492"/>
      <c r="E72" s="492"/>
      <c r="F72" s="494" t="s">
        <v>71</v>
      </c>
      <c r="G72" s="563">
        <f>AVERAGE(G60:G71)</f>
        <v>304.74939751451637</v>
      </c>
      <c r="H72" s="495">
        <f>AVERAGE(H60:H71)</f>
        <v>1.0158313250483879</v>
      </c>
    </row>
    <row r="73" spans="1:8" ht="26.25" customHeight="1" x14ac:dyDescent="0.4">
      <c r="C73" s="492"/>
      <c r="D73" s="492"/>
      <c r="E73" s="492"/>
      <c r="F73" s="496" t="s">
        <v>84</v>
      </c>
      <c r="G73" s="559">
        <f>STDEV(G60:G71)/G72</f>
        <v>1.5786671607821493E-2</v>
      </c>
      <c r="H73" s="559">
        <f>STDEV(H60:H71)/H72</f>
        <v>1.5786671607821479E-2</v>
      </c>
    </row>
    <row r="74" spans="1:8" ht="27" customHeight="1" x14ac:dyDescent="0.4">
      <c r="A74" s="492"/>
      <c r="B74" s="492"/>
      <c r="C74" s="493"/>
      <c r="D74" s="493"/>
      <c r="E74" s="497"/>
      <c r="F74" s="498" t="s">
        <v>20</v>
      </c>
      <c r="G74" s="499">
        <f>COUNT(G60:G71)</f>
        <v>9</v>
      </c>
      <c r="H74" s="499">
        <f>COUNT(H60:H71)</f>
        <v>9</v>
      </c>
    </row>
    <row r="76" spans="1:8" ht="26.25" customHeight="1" x14ac:dyDescent="0.4">
      <c r="A76" s="404" t="s">
        <v>106</v>
      </c>
      <c r="B76" s="500" t="s">
        <v>107</v>
      </c>
      <c r="C76" s="581" t="str">
        <f>B20</f>
        <v>Efavirenz, Tenofovir Disproxil Fumarate, Emtritabine</v>
      </c>
      <c r="D76" s="581"/>
      <c r="E76" s="501" t="s">
        <v>108</v>
      </c>
      <c r="F76" s="501"/>
      <c r="G76" s="502">
        <f>H72</f>
        <v>1.0158313250483879</v>
      </c>
      <c r="H76" s="503"/>
    </row>
    <row r="77" spans="1:8" ht="18.75" x14ac:dyDescent="0.3">
      <c r="A77" s="403" t="s">
        <v>109</v>
      </c>
      <c r="B77" s="403" t="s">
        <v>110</v>
      </c>
    </row>
    <row r="78" spans="1:8" ht="18.75" x14ac:dyDescent="0.3">
      <c r="A78" s="403"/>
      <c r="B78" s="403"/>
    </row>
    <row r="79" spans="1:8" ht="26.25" customHeight="1" x14ac:dyDescent="0.4">
      <c r="A79" s="404" t="s">
        <v>4</v>
      </c>
      <c r="B79" s="604" t="str">
        <f>B26</f>
        <v>Tenofovir Disproxil Fumarate</v>
      </c>
      <c r="C79" s="604"/>
    </row>
    <row r="80" spans="1:8" ht="26.25" customHeight="1" x14ac:dyDescent="0.4">
      <c r="A80" s="405" t="s">
        <v>48</v>
      </c>
      <c r="B80" s="604" t="str">
        <f>B27</f>
        <v>E11-6</v>
      </c>
      <c r="C80" s="604"/>
    </row>
    <row r="81" spans="1:12" ht="27" customHeight="1" x14ac:dyDescent="0.4">
      <c r="A81" s="405" t="s">
        <v>6</v>
      </c>
      <c r="B81" s="504">
        <f>B28</f>
        <v>98.8</v>
      </c>
    </row>
    <row r="82" spans="1:12" s="3" customFormat="1" ht="27" customHeight="1" x14ac:dyDescent="0.4">
      <c r="A82" s="405" t="s">
        <v>49</v>
      </c>
      <c r="B82" s="407">
        <v>0</v>
      </c>
      <c r="C82" s="583" t="s">
        <v>50</v>
      </c>
      <c r="D82" s="584"/>
      <c r="E82" s="584"/>
      <c r="F82" s="584"/>
      <c r="G82" s="585"/>
      <c r="I82" s="408"/>
      <c r="J82" s="408"/>
      <c r="K82" s="408"/>
      <c r="L82" s="408"/>
    </row>
    <row r="83" spans="1:12" s="3" customFormat="1" ht="19.5" customHeight="1" x14ac:dyDescent="0.3">
      <c r="A83" s="405" t="s">
        <v>51</v>
      </c>
      <c r="B83" s="409">
        <f>B81-B82</f>
        <v>98.8</v>
      </c>
      <c r="C83" s="410"/>
      <c r="D83" s="410"/>
      <c r="E83" s="410"/>
      <c r="F83" s="410"/>
      <c r="G83" s="411"/>
      <c r="I83" s="408"/>
      <c r="J83" s="408"/>
      <c r="K83" s="408"/>
      <c r="L83" s="408"/>
    </row>
    <row r="84" spans="1:12" s="3" customFormat="1" ht="27" customHeight="1" x14ac:dyDescent="0.4">
      <c r="A84" s="405" t="s">
        <v>52</v>
      </c>
      <c r="B84" s="412">
        <v>1</v>
      </c>
      <c r="C84" s="586" t="s">
        <v>111</v>
      </c>
      <c r="D84" s="587"/>
      <c r="E84" s="587"/>
      <c r="F84" s="587"/>
      <c r="G84" s="587"/>
      <c r="H84" s="588"/>
      <c r="I84" s="408"/>
      <c r="J84" s="408"/>
      <c r="K84" s="408"/>
      <c r="L84" s="408"/>
    </row>
    <row r="85" spans="1:12" s="3" customFormat="1" ht="27" customHeight="1" x14ac:dyDescent="0.4">
      <c r="A85" s="405" t="s">
        <v>54</v>
      </c>
      <c r="B85" s="412">
        <v>1</v>
      </c>
      <c r="C85" s="586" t="s">
        <v>112</v>
      </c>
      <c r="D85" s="587"/>
      <c r="E85" s="587"/>
      <c r="F85" s="587"/>
      <c r="G85" s="587"/>
      <c r="H85" s="588"/>
      <c r="I85" s="408"/>
      <c r="J85" s="408"/>
      <c r="K85" s="408"/>
      <c r="L85" s="408"/>
    </row>
    <row r="86" spans="1:12" s="3" customFormat="1" ht="18.75" x14ac:dyDescent="0.3">
      <c r="A86" s="405"/>
      <c r="B86" s="415"/>
      <c r="C86" s="416"/>
      <c r="D86" s="416"/>
      <c r="E86" s="416"/>
      <c r="F86" s="416"/>
      <c r="G86" s="416"/>
      <c r="H86" s="416"/>
      <c r="I86" s="408"/>
      <c r="J86" s="408"/>
      <c r="K86" s="408"/>
      <c r="L86" s="408"/>
    </row>
    <row r="87" spans="1:12" s="3" customFormat="1" ht="18.75" x14ac:dyDescent="0.3">
      <c r="A87" s="405" t="s">
        <v>56</v>
      </c>
      <c r="B87" s="417">
        <f>B84/B85</f>
        <v>1</v>
      </c>
      <c r="C87" s="395" t="s">
        <v>57</v>
      </c>
      <c r="D87" s="395"/>
      <c r="E87" s="395"/>
      <c r="F87" s="395"/>
      <c r="G87" s="395"/>
      <c r="I87" s="408"/>
      <c r="J87" s="408"/>
      <c r="K87" s="408"/>
      <c r="L87" s="408"/>
    </row>
    <row r="88" spans="1:12" ht="19.5" customHeight="1" x14ac:dyDescent="0.3">
      <c r="A88" s="403"/>
      <c r="B88" s="403"/>
    </row>
    <row r="89" spans="1:12" ht="27" customHeight="1" x14ac:dyDescent="0.4">
      <c r="A89" s="666" t="s">
        <v>58</v>
      </c>
      <c r="B89" s="667">
        <v>50</v>
      </c>
      <c r="C89" s="668"/>
      <c r="D89" s="669" t="s">
        <v>59</v>
      </c>
      <c r="E89" s="670"/>
      <c r="F89" s="671" t="s">
        <v>60</v>
      </c>
      <c r="G89" s="672"/>
    </row>
    <row r="90" spans="1:12" ht="27" customHeight="1" x14ac:dyDescent="0.4">
      <c r="A90" s="673" t="s">
        <v>130</v>
      </c>
      <c r="B90" s="674">
        <v>5</v>
      </c>
      <c r="C90" s="675" t="s">
        <v>62</v>
      </c>
      <c r="D90" s="676" t="s">
        <v>63</v>
      </c>
      <c r="E90" s="677" t="s">
        <v>64</v>
      </c>
      <c r="F90" s="676" t="s">
        <v>63</v>
      </c>
      <c r="G90" s="678" t="s">
        <v>64</v>
      </c>
      <c r="I90" s="426" t="s">
        <v>65</v>
      </c>
    </row>
    <row r="91" spans="1:12" ht="26.25" customHeight="1" x14ac:dyDescent="0.4">
      <c r="A91" s="673" t="s">
        <v>131</v>
      </c>
      <c r="B91" s="674">
        <v>100</v>
      </c>
      <c r="C91" s="679">
        <v>1</v>
      </c>
      <c r="D91" s="680">
        <v>8218545</v>
      </c>
      <c r="E91" s="681">
        <f>IF(ISBLANK(D91),"-",$D$101/$D$98*D91)</f>
        <v>16670070.911052873</v>
      </c>
      <c r="F91" s="680">
        <v>10135755</v>
      </c>
      <c r="G91" s="682">
        <f>IF(ISBLANK(F91),"-",$D$101/$F$98*F91)</f>
        <v>16138743.580543874</v>
      </c>
      <c r="I91" s="431"/>
    </row>
    <row r="92" spans="1:12" ht="26.25" customHeight="1" x14ac:dyDescent="0.4">
      <c r="A92" s="673" t="s">
        <v>132</v>
      </c>
      <c r="B92" s="674">
        <v>1</v>
      </c>
      <c r="C92" s="683">
        <v>2</v>
      </c>
      <c r="D92" s="684">
        <v>8202195</v>
      </c>
      <c r="E92" s="685">
        <f>IF(ISBLANK(D92),"-",$D$101/$D$98*D92)</f>
        <v>16636907.418075016</v>
      </c>
      <c r="F92" s="684">
        <v>10152839</v>
      </c>
      <c r="G92" s="686">
        <f>IF(ISBLANK(F92),"-",$D$101/$F$98*F92)</f>
        <v>16165945.727333138</v>
      </c>
      <c r="I92" s="591">
        <f>ABS((F96/D96*D95)-F95)/D95</f>
        <v>3.4511366196906375E-2</v>
      </c>
    </row>
    <row r="93" spans="1:12" ht="26.25" customHeight="1" x14ac:dyDescent="0.4">
      <c r="A93" s="673" t="s">
        <v>133</v>
      </c>
      <c r="B93" s="674">
        <v>1</v>
      </c>
      <c r="C93" s="683">
        <v>3</v>
      </c>
      <c r="D93" s="684">
        <v>8178469</v>
      </c>
      <c r="E93" s="685">
        <f>IF(ISBLANK(D93),"-",$D$101/$D$98*D93)</f>
        <v>16588782.828815525</v>
      </c>
      <c r="F93" s="684">
        <v>10198921</v>
      </c>
      <c r="G93" s="686">
        <f>IF(ISBLANK(F93),"-",$D$101/$F$98*F93)</f>
        <v>16239320.190476594</v>
      </c>
      <c r="I93" s="591"/>
    </row>
    <row r="94" spans="1:12" ht="27" customHeight="1" x14ac:dyDescent="0.4">
      <c r="A94" s="673" t="s">
        <v>134</v>
      </c>
      <c r="B94" s="674">
        <v>1</v>
      </c>
      <c r="C94" s="687">
        <v>4</v>
      </c>
      <c r="D94" s="688"/>
      <c r="E94" s="689" t="str">
        <f>IF(ISBLANK(D94),"-",$D$101/$D$98*D94)</f>
        <v>-</v>
      </c>
      <c r="F94" s="690"/>
      <c r="G94" s="691" t="str">
        <f>IF(ISBLANK(F94),"-",$D$101/$F$98*F94)</f>
        <v>-</v>
      </c>
      <c r="I94" s="441"/>
    </row>
    <row r="95" spans="1:12" ht="27" customHeight="1" x14ac:dyDescent="0.4">
      <c r="A95" s="673" t="s">
        <v>135</v>
      </c>
      <c r="B95" s="674">
        <v>1</v>
      </c>
      <c r="C95" s="692" t="s">
        <v>71</v>
      </c>
      <c r="D95" s="693">
        <f>AVERAGE(D91:D94)</f>
        <v>8199736.333333333</v>
      </c>
      <c r="E95" s="694">
        <f>AVERAGE(E91:E94)</f>
        <v>16631920.385981137</v>
      </c>
      <c r="F95" s="695">
        <f>AVERAGE(F91:F94)</f>
        <v>10162505</v>
      </c>
      <c r="G95" s="696">
        <f>AVERAGE(G91:G94)</f>
        <v>16181336.499451203</v>
      </c>
    </row>
    <row r="96" spans="1:12" ht="26.25" customHeight="1" x14ac:dyDescent="0.4">
      <c r="A96" s="673" t="s">
        <v>136</v>
      </c>
      <c r="B96" s="697">
        <v>1</v>
      </c>
      <c r="C96" s="698" t="s">
        <v>113</v>
      </c>
      <c r="D96" s="701">
        <v>14.97</v>
      </c>
      <c r="E96" s="700"/>
      <c r="F96" s="699">
        <v>19.07</v>
      </c>
      <c r="G96" s="668"/>
    </row>
    <row r="97" spans="1:10" ht="26.25" customHeight="1" x14ac:dyDescent="0.4">
      <c r="A97" s="420" t="s">
        <v>74</v>
      </c>
      <c r="B97" s="406">
        <v>1</v>
      </c>
      <c r="C97" s="507" t="s">
        <v>114</v>
      </c>
      <c r="D97" s="508">
        <f>D96*$B$87</f>
        <v>14.97</v>
      </c>
      <c r="E97" s="451"/>
      <c r="F97" s="450">
        <f>F96*$B$87</f>
        <v>19.07</v>
      </c>
    </row>
    <row r="98" spans="1:10" ht="19.5" customHeight="1" x14ac:dyDescent="0.3">
      <c r="A98" s="420" t="s">
        <v>76</v>
      </c>
      <c r="B98" s="509">
        <f>(B97/B96)*(B95/B94)*(B93/B92)*(B91/B90)*B89</f>
        <v>1000</v>
      </c>
      <c r="C98" s="507" t="s">
        <v>115</v>
      </c>
      <c r="D98" s="510">
        <f>D97*$B$83/100</f>
        <v>14.79036</v>
      </c>
      <c r="E98" s="454"/>
      <c r="F98" s="453">
        <f>F97*$B$83/100</f>
        <v>18.841159999999999</v>
      </c>
    </row>
    <row r="99" spans="1:10" ht="19.5" customHeight="1" x14ac:dyDescent="0.3">
      <c r="A99" s="577" t="s">
        <v>78</v>
      </c>
      <c r="B99" s="592"/>
      <c r="C99" s="507" t="s">
        <v>116</v>
      </c>
      <c r="D99" s="511">
        <f>D98/$B$98</f>
        <v>1.4790359999999999E-2</v>
      </c>
      <c r="E99" s="454"/>
      <c r="F99" s="457">
        <f>F98/$B$98</f>
        <v>1.8841159999999999E-2</v>
      </c>
      <c r="G99" s="512"/>
      <c r="H99" s="446"/>
    </row>
    <row r="100" spans="1:10" ht="19.5" customHeight="1" x14ac:dyDescent="0.3">
      <c r="A100" s="579"/>
      <c r="B100" s="593"/>
      <c r="C100" s="507" t="s">
        <v>80</v>
      </c>
      <c r="D100" s="513">
        <f>$B$56/$B$116</f>
        <v>0.03</v>
      </c>
      <c r="F100" s="462"/>
      <c r="G100" s="514"/>
      <c r="H100" s="446"/>
    </row>
    <row r="101" spans="1:10" ht="18.75" x14ac:dyDescent="0.3">
      <c r="C101" s="507" t="s">
        <v>81</v>
      </c>
      <c r="D101" s="508">
        <f>D100*$B$98</f>
        <v>30</v>
      </c>
      <c r="F101" s="462"/>
      <c r="G101" s="512"/>
      <c r="H101" s="446"/>
    </row>
    <row r="102" spans="1:10" ht="19.5" customHeight="1" x14ac:dyDescent="0.3">
      <c r="C102" s="515" t="s">
        <v>82</v>
      </c>
      <c r="D102" s="516">
        <f>D101/B34</f>
        <v>30</v>
      </c>
      <c r="F102" s="466"/>
      <c r="G102" s="512"/>
      <c r="H102" s="446"/>
      <c r="J102" s="517"/>
    </row>
    <row r="103" spans="1:10" ht="18.75" x14ac:dyDescent="0.3">
      <c r="C103" s="518" t="s">
        <v>117</v>
      </c>
      <c r="D103" s="519">
        <f>AVERAGE(E91:E94,G91:G94)</f>
        <v>16406628.442716172</v>
      </c>
      <c r="F103" s="466"/>
      <c r="G103" s="520"/>
      <c r="H103" s="446"/>
      <c r="J103" s="521"/>
    </row>
    <row r="104" spans="1:10" ht="18.75" x14ac:dyDescent="0.3">
      <c r="C104" s="496" t="s">
        <v>84</v>
      </c>
      <c r="D104" s="522">
        <f>STDEV(E91:E94,G91:G94)/D103</f>
        <v>1.5257067124153732E-2</v>
      </c>
      <c r="F104" s="466"/>
      <c r="G104" s="512"/>
      <c r="H104" s="446"/>
      <c r="J104" s="521"/>
    </row>
    <row r="105" spans="1:10" ht="19.5" customHeight="1" x14ac:dyDescent="0.3">
      <c r="C105" s="498" t="s">
        <v>20</v>
      </c>
      <c r="D105" s="523">
        <f>COUNT(E91:E94,G91:G94)</f>
        <v>6</v>
      </c>
      <c r="F105" s="466"/>
      <c r="G105" s="512"/>
      <c r="H105" s="446"/>
      <c r="J105" s="521"/>
    </row>
    <row r="106" spans="1:10" ht="19.5" customHeight="1" x14ac:dyDescent="0.3">
      <c r="A106" s="470"/>
      <c r="B106" s="470"/>
      <c r="C106" s="470"/>
      <c r="D106" s="470"/>
      <c r="E106" s="470"/>
    </row>
    <row r="107" spans="1:10" ht="26.25" customHeight="1" x14ac:dyDescent="0.4">
      <c r="A107" s="418" t="s">
        <v>118</v>
      </c>
      <c r="B107" s="419">
        <v>1000</v>
      </c>
      <c r="C107" s="524" t="s">
        <v>119</v>
      </c>
      <c r="D107" s="525" t="s">
        <v>63</v>
      </c>
      <c r="E107" s="526" t="s">
        <v>120</v>
      </c>
      <c r="F107" s="527" t="s">
        <v>121</v>
      </c>
    </row>
    <row r="108" spans="1:10" ht="26.25" customHeight="1" x14ac:dyDescent="0.4">
      <c r="A108" s="420" t="s">
        <v>122</v>
      </c>
      <c r="B108" s="421">
        <v>5</v>
      </c>
      <c r="C108" s="528">
        <v>1</v>
      </c>
      <c r="D108" s="529">
        <v>15246438</v>
      </c>
      <c r="E108" s="560">
        <f t="shared" ref="E108:E113" si="1">IF(ISBLANK(D108),"-",D108/$D$103*$D$100*$B$116)</f>
        <v>278.78557840021216</v>
      </c>
      <c r="F108" s="530">
        <f t="shared" ref="F108:F113" si="2">IF(ISBLANK(D108), "-", E108/$B$56)</f>
        <v>0.92928526133404055</v>
      </c>
    </row>
    <row r="109" spans="1:10" ht="26.25" customHeight="1" x14ac:dyDescent="0.4">
      <c r="A109" s="420" t="s">
        <v>95</v>
      </c>
      <c r="B109" s="421">
        <v>50</v>
      </c>
      <c r="C109" s="528">
        <v>2</v>
      </c>
      <c r="D109" s="529">
        <v>16106744</v>
      </c>
      <c r="E109" s="561">
        <f t="shared" si="1"/>
        <v>294.51652524898907</v>
      </c>
      <c r="F109" s="531">
        <f t="shared" si="2"/>
        <v>0.9817217508299636</v>
      </c>
    </row>
    <row r="110" spans="1:10" ht="26.25" customHeight="1" x14ac:dyDescent="0.4">
      <c r="A110" s="420" t="s">
        <v>96</v>
      </c>
      <c r="B110" s="421">
        <v>1</v>
      </c>
      <c r="C110" s="528">
        <v>3</v>
      </c>
      <c r="D110" s="529">
        <v>16157320</v>
      </c>
      <c r="E110" s="561">
        <f t="shared" si="1"/>
        <v>295.44132220242625</v>
      </c>
      <c r="F110" s="531">
        <f t="shared" si="2"/>
        <v>0.98480440734142083</v>
      </c>
    </row>
    <row r="111" spans="1:10" ht="26.25" customHeight="1" x14ac:dyDescent="0.4">
      <c r="A111" s="420" t="s">
        <v>97</v>
      </c>
      <c r="B111" s="421">
        <v>1</v>
      </c>
      <c r="C111" s="528">
        <v>4</v>
      </c>
      <c r="D111" s="529">
        <v>16892755</v>
      </c>
      <c r="E111" s="561">
        <f t="shared" si="1"/>
        <v>308.88896629154135</v>
      </c>
      <c r="F111" s="531">
        <f t="shared" si="2"/>
        <v>1.0296298876384711</v>
      </c>
    </row>
    <row r="112" spans="1:10" ht="26.25" customHeight="1" x14ac:dyDescent="0.4">
      <c r="A112" s="420" t="s">
        <v>98</v>
      </c>
      <c r="B112" s="421">
        <v>1</v>
      </c>
      <c r="C112" s="528">
        <v>5</v>
      </c>
      <c r="D112" s="529">
        <v>17116993</v>
      </c>
      <c r="E112" s="561">
        <f t="shared" si="1"/>
        <v>312.9892237109666</v>
      </c>
      <c r="F112" s="531">
        <f t="shared" si="2"/>
        <v>1.0432974123698886</v>
      </c>
    </row>
    <row r="113" spans="1:10" ht="26.25" customHeight="1" x14ac:dyDescent="0.4">
      <c r="A113" s="420" t="s">
        <v>100</v>
      </c>
      <c r="B113" s="421">
        <v>1</v>
      </c>
      <c r="C113" s="532">
        <v>6</v>
      </c>
      <c r="D113" s="533">
        <v>15460362</v>
      </c>
      <c r="E113" s="562">
        <f t="shared" si="1"/>
        <v>282.69724131280111</v>
      </c>
      <c r="F113" s="534">
        <f t="shared" si="2"/>
        <v>0.94232413770933698</v>
      </c>
    </row>
    <row r="114" spans="1:10" ht="26.25" customHeight="1" x14ac:dyDescent="0.4">
      <c r="A114" s="420" t="s">
        <v>101</v>
      </c>
      <c r="B114" s="421">
        <v>1</v>
      </c>
      <c r="C114" s="528"/>
      <c r="D114" s="493"/>
      <c r="E114" s="394"/>
      <c r="F114" s="535"/>
    </row>
    <row r="115" spans="1:10" ht="26.25" customHeight="1" x14ac:dyDescent="0.4">
      <c r="A115" s="420" t="s">
        <v>102</v>
      </c>
      <c r="B115" s="421">
        <v>1</v>
      </c>
      <c r="C115" s="528"/>
      <c r="D115" s="536" t="s">
        <v>71</v>
      </c>
      <c r="E115" s="564">
        <f>AVERAGE(E108:E113)</f>
        <v>295.55314286115612</v>
      </c>
      <c r="F115" s="537">
        <f>AVERAGE(F108:F113)</f>
        <v>0.98517714287052038</v>
      </c>
    </row>
    <row r="116" spans="1:10" ht="27" customHeight="1" x14ac:dyDescent="0.4">
      <c r="A116" s="420" t="s">
        <v>103</v>
      </c>
      <c r="B116" s="452">
        <f>(B115/B114)*(B113/B112)*(B111/B110)*(B109/B108)*B107</f>
        <v>10000</v>
      </c>
      <c r="C116" s="538"/>
      <c r="D116" s="506" t="s">
        <v>84</v>
      </c>
      <c r="E116" s="539">
        <f>STDEV(E108:E113)/E115</f>
        <v>4.6129057659535247E-2</v>
      </c>
      <c r="F116" s="539">
        <f>STDEV(F108:F113)/F115</f>
        <v>4.6129057659535212E-2</v>
      </c>
      <c r="I116" s="394"/>
    </row>
    <row r="117" spans="1:10" ht="27" customHeight="1" x14ac:dyDescent="0.4">
      <c r="A117" s="577" t="s">
        <v>78</v>
      </c>
      <c r="B117" s="578"/>
      <c r="C117" s="540"/>
      <c r="D117" s="541" t="s">
        <v>20</v>
      </c>
      <c r="E117" s="542">
        <f>COUNT(E108:E113)</f>
        <v>6</v>
      </c>
      <c r="F117" s="542">
        <f>COUNT(F108:F113)</f>
        <v>6</v>
      </c>
      <c r="I117" s="394"/>
      <c r="J117" s="521"/>
    </row>
    <row r="118" spans="1:10" ht="19.5" customHeight="1" x14ac:dyDescent="0.3">
      <c r="A118" s="579"/>
      <c r="B118" s="580"/>
      <c r="C118" s="394"/>
      <c r="D118" s="394"/>
      <c r="E118" s="394"/>
      <c r="F118" s="493"/>
      <c r="G118" s="394"/>
      <c r="H118" s="394"/>
      <c r="I118" s="394"/>
    </row>
    <row r="119" spans="1:10" ht="18.75" x14ac:dyDescent="0.3">
      <c r="A119" s="551"/>
      <c r="B119" s="416"/>
      <c r="C119" s="394"/>
      <c r="D119" s="394"/>
      <c r="E119" s="394"/>
      <c r="F119" s="493"/>
      <c r="G119" s="394"/>
      <c r="H119" s="394"/>
      <c r="I119" s="394"/>
    </row>
    <row r="120" spans="1:10" ht="26.25" customHeight="1" x14ac:dyDescent="0.4">
      <c r="A120" s="404" t="s">
        <v>106</v>
      </c>
      <c r="B120" s="500" t="s">
        <v>123</v>
      </c>
      <c r="C120" s="581" t="str">
        <f>B20</f>
        <v>Efavirenz, Tenofovir Disproxil Fumarate, Emtritabine</v>
      </c>
      <c r="D120" s="581"/>
      <c r="E120" s="501" t="s">
        <v>124</v>
      </c>
      <c r="F120" s="501"/>
      <c r="G120" s="502">
        <f>F115</f>
        <v>0.98517714287052038</v>
      </c>
      <c r="H120" s="394"/>
      <c r="I120" s="394"/>
    </row>
    <row r="121" spans="1:10" ht="19.5" customHeight="1" x14ac:dyDescent="0.3">
      <c r="A121" s="543"/>
      <c r="B121" s="543"/>
      <c r="C121" s="544"/>
      <c r="D121" s="544"/>
      <c r="E121" s="544"/>
      <c r="F121" s="544"/>
      <c r="G121" s="544"/>
      <c r="H121" s="544"/>
    </row>
    <row r="122" spans="1:10" ht="18.75" x14ac:dyDescent="0.3">
      <c r="B122" s="582" t="s">
        <v>26</v>
      </c>
      <c r="C122" s="582"/>
      <c r="E122" s="505" t="s">
        <v>27</v>
      </c>
      <c r="F122" s="545"/>
      <c r="G122" s="582" t="s">
        <v>28</v>
      </c>
      <c r="H122" s="582"/>
    </row>
    <row r="123" spans="1:10" ht="69.95" customHeight="1" x14ac:dyDescent="0.3">
      <c r="A123" s="546" t="s">
        <v>29</v>
      </c>
      <c r="B123" s="547"/>
      <c r="C123" s="547"/>
      <c r="E123" s="547"/>
      <c r="F123" s="394"/>
      <c r="G123" s="548"/>
      <c r="H123" s="548"/>
    </row>
    <row r="124" spans="1:10" ht="69.95" customHeight="1" x14ac:dyDescent="0.3">
      <c r="A124" s="546" t="s">
        <v>30</v>
      </c>
      <c r="B124" s="549"/>
      <c r="C124" s="549"/>
      <c r="E124" s="549"/>
      <c r="F124" s="394"/>
      <c r="G124" s="550"/>
      <c r="H124" s="550"/>
    </row>
    <row r="125" spans="1:10" ht="18.75" x14ac:dyDescent="0.3">
      <c r="A125" s="492"/>
      <c r="B125" s="492"/>
      <c r="C125" s="493"/>
      <c r="D125" s="493"/>
      <c r="E125" s="493"/>
      <c r="F125" s="497"/>
      <c r="G125" s="493"/>
      <c r="H125" s="493"/>
      <c r="I125" s="394"/>
    </row>
    <row r="126" spans="1:10" ht="18.75" x14ac:dyDescent="0.3">
      <c r="A126" s="492"/>
      <c r="B126" s="492"/>
      <c r="C126" s="493"/>
      <c r="D126" s="493"/>
      <c r="E126" s="493"/>
      <c r="F126" s="497"/>
      <c r="G126" s="493"/>
      <c r="H126" s="493"/>
      <c r="I126" s="394"/>
    </row>
    <row r="127" spans="1:10" ht="18.75" x14ac:dyDescent="0.3">
      <c r="A127" s="492"/>
      <c r="B127" s="492"/>
      <c r="C127" s="493"/>
      <c r="D127" s="493"/>
      <c r="E127" s="493"/>
      <c r="F127" s="497"/>
      <c r="G127" s="493"/>
      <c r="H127" s="493"/>
      <c r="I127" s="394"/>
    </row>
    <row r="128" spans="1:10" ht="18.75" x14ac:dyDescent="0.3">
      <c r="A128" s="492"/>
      <c r="B128" s="492"/>
      <c r="C128" s="493"/>
      <c r="D128" s="493"/>
      <c r="E128" s="493"/>
      <c r="F128" s="497"/>
      <c r="G128" s="493"/>
      <c r="H128" s="493"/>
      <c r="I128" s="394"/>
    </row>
    <row r="129" spans="1:9" ht="18.75" x14ac:dyDescent="0.3">
      <c r="A129" s="492"/>
      <c r="B129" s="492"/>
      <c r="C129" s="493"/>
      <c r="D129" s="493"/>
      <c r="E129" s="493"/>
      <c r="F129" s="497"/>
      <c r="G129" s="493"/>
      <c r="H129" s="493"/>
      <c r="I129" s="394"/>
    </row>
    <row r="130" spans="1:9" ht="18.75" x14ac:dyDescent="0.3">
      <c r="A130" s="492"/>
      <c r="B130" s="492"/>
      <c r="C130" s="493"/>
      <c r="D130" s="493"/>
      <c r="E130" s="493"/>
      <c r="F130" s="497"/>
      <c r="G130" s="493"/>
      <c r="H130" s="493"/>
      <c r="I130" s="394"/>
    </row>
    <row r="131" spans="1:9" ht="18.75" x14ac:dyDescent="0.3">
      <c r="A131" s="492"/>
      <c r="B131" s="492"/>
      <c r="C131" s="493"/>
      <c r="D131" s="493"/>
      <c r="E131" s="493"/>
      <c r="F131" s="497"/>
      <c r="G131" s="493"/>
      <c r="H131" s="493"/>
      <c r="I131" s="394"/>
    </row>
    <row r="132" spans="1:9" ht="18.75" x14ac:dyDescent="0.3">
      <c r="A132" s="492"/>
      <c r="B132" s="492"/>
      <c r="C132" s="493"/>
      <c r="D132" s="493"/>
      <c r="E132" s="493"/>
      <c r="F132" s="497"/>
      <c r="G132" s="493"/>
      <c r="H132" s="493"/>
      <c r="I132" s="394"/>
    </row>
    <row r="133" spans="1:9" ht="18.75" x14ac:dyDescent="0.3">
      <c r="A133" s="492"/>
      <c r="B133" s="492"/>
      <c r="C133" s="493"/>
      <c r="D133" s="493"/>
      <c r="E133" s="493"/>
      <c r="F133" s="497"/>
      <c r="G133" s="493"/>
      <c r="H133" s="493"/>
      <c r="I133" s="39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5">
    <mergeCell ref="B26:C26"/>
    <mergeCell ref="A16:H16"/>
    <mergeCell ref="A17:H17"/>
    <mergeCell ref="B18:C18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89" zoomScale="60" zoomScaleNormal="40" zoomScalePageLayoutView="55" workbookViewId="0">
      <selection activeCell="B86" sqref="B8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75" t="s">
        <v>45</v>
      </c>
      <c r="B1" s="575"/>
      <c r="C1" s="575"/>
      <c r="D1" s="575"/>
      <c r="E1" s="575"/>
      <c r="F1" s="575"/>
      <c r="G1" s="575"/>
      <c r="H1" s="575"/>
      <c r="I1" s="575"/>
    </row>
    <row r="2" spans="1:9" ht="18.75" customHeight="1" x14ac:dyDescent="0.25">
      <c r="A2" s="575"/>
      <c r="B2" s="575"/>
      <c r="C2" s="575"/>
      <c r="D2" s="575"/>
      <c r="E2" s="575"/>
      <c r="F2" s="575"/>
      <c r="G2" s="575"/>
      <c r="H2" s="575"/>
      <c r="I2" s="575"/>
    </row>
    <row r="3" spans="1:9" ht="18.75" customHeight="1" x14ac:dyDescent="0.25">
      <c r="A3" s="575"/>
      <c r="B3" s="575"/>
      <c r="C3" s="575"/>
      <c r="D3" s="575"/>
      <c r="E3" s="575"/>
      <c r="F3" s="575"/>
      <c r="G3" s="575"/>
      <c r="H3" s="575"/>
      <c r="I3" s="575"/>
    </row>
    <row r="4" spans="1:9" ht="18.75" customHeight="1" x14ac:dyDescent="0.25">
      <c r="A4" s="575"/>
      <c r="B4" s="575"/>
      <c r="C4" s="575"/>
      <c r="D4" s="575"/>
      <c r="E4" s="575"/>
      <c r="F4" s="575"/>
      <c r="G4" s="575"/>
      <c r="H4" s="575"/>
      <c r="I4" s="575"/>
    </row>
    <row r="5" spans="1:9" ht="18.75" customHeight="1" x14ac:dyDescent="0.25">
      <c r="A5" s="575"/>
      <c r="B5" s="575"/>
      <c r="C5" s="575"/>
      <c r="D5" s="575"/>
      <c r="E5" s="575"/>
      <c r="F5" s="575"/>
      <c r="G5" s="575"/>
      <c r="H5" s="575"/>
      <c r="I5" s="575"/>
    </row>
    <row r="6" spans="1:9" ht="18.75" customHeight="1" x14ac:dyDescent="0.25">
      <c r="A6" s="575"/>
      <c r="B6" s="575"/>
      <c r="C6" s="575"/>
      <c r="D6" s="575"/>
      <c r="E6" s="575"/>
      <c r="F6" s="575"/>
      <c r="G6" s="575"/>
      <c r="H6" s="575"/>
      <c r="I6" s="575"/>
    </row>
    <row r="7" spans="1:9" ht="18.75" customHeight="1" x14ac:dyDescent="0.25">
      <c r="A7" s="575"/>
      <c r="B7" s="575"/>
      <c r="C7" s="575"/>
      <c r="D7" s="575"/>
      <c r="E7" s="575"/>
      <c r="F7" s="575"/>
      <c r="G7" s="575"/>
      <c r="H7" s="575"/>
      <c r="I7" s="575"/>
    </row>
    <row r="8" spans="1:9" x14ac:dyDescent="0.25">
      <c r="A8" s="576" t="s">
        <v>46</v>
      </c>
      <c r="B8" s="576"/>
      <c r="C8" s="576"/>
      <c r="D8" s="576"/>
      <c r="E8" s="576"/>
      <c r="F8" s="576"/>
      <c r="G8" s="576"/>
      <c r="H8" s="576"/>
      <c r="I8" s="576"/>
    </row>
    <row r="9" spans="1:9" x14ac:dyDescent="0.25">
      <c r="A9" s="576"/>
      <c r="B9" s="576"/>
      <c r="C9" s="576"/>
      <c r="D9" s="576"/>
      <c r="E9" s="576"/>
      <c r="F9" s="576"/>
      <c r="G9" s="576"/>
      <c r="H9" s="576"/>
      <c r="I9" s="576"/>
    </row>
    <row r="10" spans="1:9" x14ac:dyDescent="0.25">
      <c r="A10" s="576"/>
      <c r="B10" s="576"/>
      <c r="C10" s="576"/>
      <c r="D10" s="576"/>
      <c r="E10" s="576"/>
      <c r="F10" s="576"/>
      <c r="G10" s="576"/>
      <c r="H10" s="576"/>
      <c r="I10" s="576"/>
    </row>
    <row r="11" spans="1:9" x14ac:dyDescent="0.25">
      <c r="A11" s="576"/>
      <c r="B11" s="576"/>
      <c r="C11" s="576"/>
      <c r="D11" s="576"/>
      <c r="E11" s="576"/>
      <c r="F11" s="576"/>
      <c r="G11" s="576"/>
      <c r="H11" s="576"/>
      <c r="I11" s="576"/>
    </row>
    <row r="12" spans="1:9" x14ac:dyDescent="0.25">
      <c r="A12" s="576"/>
      <c r="B12" s="576"/>
      <c r="C12" s="576"/>
      <c r="D12" s="576"/>
      <c r="E12" s="576"/>
      <c r="F12" s="576"/>
      <c r="G12" s="576"/>
      <c r="H12" s="576"/>
      <c r="I12" s="576"/>
    </row>
    <row r="13" spans="1:9" x14ac:dyDescent="0.25">
      <c r="A13" s="576"/>
      <c r="B13" s="576"/>
      <c r="C13" s="576"/>
      <c r="D13" s="576"/>
      <c r="E13" s="576"/>
      <c r="F13" s="576"/>
      <c r="G13" s="576"/>
      <c r="H13" s="576"/>
      <c r="I13" s="576"/>
    </row>
    <row r="14" spans="1:9" x14ac:dyDescent="0.25">
      <c r="A14" s="576"/>
      <c r="B14" s="576"/>
      <c r="C14" s="576"/>
      <c r="D14" s="576"/>
      <c r="E14" s="576"/>
      <c r="F14" s="576"/>
      <c r="G14" s="576"/>
      <c r="H14" s="576"/>
      <c r="I14" s="576"/>
    </row>
    <row r="15" spans="1:9" ht="19.5" customHeight="1" x14ac:dyDescent="0.3">
      <c r="A15" s="50"/>
    </row>
    <row r="16" spans="1:9" ht="19.5" customHeight="1" x14ac:dyDescent="0.3">
      <c r="A16" s="609" t="s">
        <v>31</v>
      </c>
      <c r="B16" s="610"/>
      <c r="C16" s="610"/>
      <c r="D16" s="610"/>
      <c r="E16" s="610"/>
      <c r="F16" s="610"/>
      <c r="G16" s="610"/>
      <c r="H16" s="611"/>
    </row>
    <row r="17" spans="1:14" ht="20.25" customHeight="1" x14ac:dyDescent="0.25">
      <c r="A17" s="612" t="s">
        <v>47</v>
      </c>
      <c r="B17" s="612"/>
      <c r="C17" s="612"/>
      <c r="D17" s="612"/>
      <c r="E17" s="612"/>
      <c r="F17" s="612"/>
      <c r="G17" s="612"/>
      <c r="H17" s="612"/>
    </row>
    <row r="18" spans="1:14" ht="26.25" customHeight="1" x14ac:dyDescent="0.4">
      <c r="A18" s="52" t="s">
        <v>33</v>
      </c>
      <c r="B18" s="608" t="s">
        <v>5</v>
      </c>
      <c r="C18" s="608"/>
      <c r="D18" s="20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1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62" t="s">
        <v>9</v>
      </c>
      <c r="C20" s="660"/>
      <c r="D20" s="566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65" t="s">
        <v>137</v>
      </c>
      <c r="C21" s="606"/>
      <c r="D21" s="606"/>
      <c r="E21" s="606"/>
      <c r="F21" s="606"/>
      <c r="G21" s="606"/>
      <c r="H21" s="606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64" t="s">
        <v>138</v>
      </c>
      <c r="C26" s="608"/>
    </row>
    <row r="27" spans="1:14" ht="26.25" customHeight="1" x14ac:dyDescent="0.4">
      <c r="A27" s="61" t="s">
        <v>48</v>
      </c>
      <c r="B27" s="665" t="s">
        <v>139</v>
      </c>
      <c r="C27" s="606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583" t="s">
        <v>50</v>
      </c>
      <c r="D29" s="584"/>
      <c r="E29" s="584"/>
      <c r="F29" s="584"/>
      <c r="G29" s="58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586" t="s">
        <v>53</v>
      </c>
      <c r="D31" s="587"/>
      <c r="E31" s="587"/>
      <c r="F31" s="587"/>
      <c r="G31" s="587"/>
      <c r="H31" s="58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586" t="s">
        <v>55</v>
      </c>
      <c r="D32" s="587"/>
      <c r="E32" s="587"/>
      <c r="F32" s="587"/>
      <c r="G32" s="587"/>
      <c r="H32" s="58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589" t="s">
        <v>59</v>
      </c>
      <c r="E36" s="607"/>
      <c r="F36" s="589" t="s">
        <v>60</v>
      </c>
      <c r="G36" s="590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10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48792165</v>
      </c>
      <c r="E38" s="85">
        <f>IF(ISBLANK(D38),"-",$D$48/$D$45*D38)</f>
        <v>3216767.1243714187</v>
      </c>
      <c r="F38" s="84">
        <v>50285991</v>
      </c>
      <c r="G38" s="86">
        <f>IF(ISBLANK(F38),"-",$D$48/$F$45*F38)</f>
        <v>3170975.223559279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48229275</v>
      </c>
      <c r="E39" s="90">
        <f>IF(ISBLANK(D39),"-",$D$48/$D$45*D39)</f>
        <v>3179656.9439431177</v>
      </c>
      <c r="F39" s="89">
        <v>50363530</v>
      </c>
      <c r="G39" s="91">
        <f>IF(ISBLANK(F39),"-",$D$48/$F$45*F39)</f>
        <v>3175864.7413547933</v>
      </c>
      <c r="I39" s="591">
        <f>ABS((F43/D43*D42)-F42)/D42</f>
        <v>8.9949040883154953E-3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49431424</v>
      </c>
      <c r="E40" s="90">
        <f>IF(ISBLANK(D40),"-",$D$48/$D$45*D40)</f>
        <v>3258912.1559591447</v>
      </c>
      <c r="F40" s="89">
        <v>51149499</v>
      </c>
      <c r="G40" s="91">
        <f>IF(ISBLANK(F40),"-",$D$48/$F$45*F40)</f>
        <v>3225427.0185601022</v>
      </c>
      <c r="I40" s="591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48817621.333333336</v>
      </c>
      <c r="E42" s="100">
        <f>AVERAGE(E38:E41)</f>
        <v>3218445.4080912271</v>
      </c>
      <c r="F42" s="99">
        <f>AVERAGE(F38:F41)</f>
        <v>50599673.333333336</v>
      </c>
      <c r="G42" s="101">
        <f>AVERAGE(G38:G41)</f>
        <v>3190755.6611580583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30.55</v>
      </c>
      <c r="E43" s="92"/>
      <c r="F43" s="104">
        <v>31.94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30.55</v>
      </c>
      <c r="E44" s="107"/>
      <c r="F44" s="106">
        <f>F43*$B$34</f>
        <v>31.94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30.336149999999996</v>
      </c>
      <c r="E45" s="110"/>
      <c r="F45" s="109">
        <f>F44*$B$30/100</f>
        <v>31.716419999999999</v>
      </c>
      <c r="H45" s="102"/>
    </row>
    <row r="46" spans="1:14" ht="19.5" customHeight="1" x14ac:dyDescent="0.3">
      <c r="A46" s="577" t="s">
        <v>78</v>
      </c>
      <c r="B46" s="578"/>
      <c r="C46" s="105" t="s">
        <v>79</v>
      </c>
      <c r="D46" s="111">
        <f>D45/$B$45</f>
        <v>0.30336149999999995</v>
      </c>
      <c r="E46" s="112"/>
      <c r="F46" s="113">
        <f>F45/$B$45</f>
        <v>0.31716420000000001</v>
      </c>
      <c r="H46" s="102"/>
    </row>
    <row r="47" spans="1:14" ht="27" customHeight="1" x14ac:dyDescent="0.4">
      <c r="A47" s="579"/>
      <c r="B47" s="580"/>
      <c r="C47" s="114" t="s">
        <v>80</v>
      </c>
      <c r="D47" s="115">
        <v>0.02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3204600.5346246422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1.090851501451175E-2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
Efavirens USP 600 mg
Emtricitabine 200 mg Tenofovir Disproxil Fumarate equivalent to Tenofovir Disproxil 245 mg</v>
      </c>
    </row>
    <row r="56" spans="1:12" ht="26.25" customHeight="1" x14ac:dyDescent="0.4">
      <c r="A56" s="129" t="s">
        <v>87</v>
      </c>
      <c r="B56" s="130">
        <v>600</v>
      </c>
      <c r="C56" s="51" t="str">
        <f>B20</f>
        <v>Efavirenz, Tenofovir Disproxil Fumarate, Emtritabine</v>
      </c>
      <c r="H56" s="131"/>
    </row>
    <row r="57" spans="1:12" ht="18.75" x14ac:dyDescent="0.3">
      <c r="A57" s="128" t="s">
        <v>88</v>
      </c>
      <c r="B57" s="209">
        <f>Uniformity!C46</f>
        <v>1484.4985000000004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594" t="s">
        <v>94</v>
      </c>
      <c r="D60" s="597">
        <f>EMCITRABINE!D60</f>
        <v>684.69</v>
      </c>
      <c r="E60" s="134">
        <v>1</v>
      </c>
      <c r="F60" s="135">
        <v>43468273</v>
      </c>
      <c r="G60" s="210">
        <f>IF(ISBLANK(F60),"-",(F60/$D$50*$D$47*$B$68)*($B$57/$D$60))</f>
        <v>588.18542538060808</v>
      </c>
      <c r="H60" s="136">
        <f t="shared" ref="H60:H71" si="0">IF(ISBLANK(F60),"-",G60/$B$56)</f>
        <v>0.98030904230101346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595"/>
      <c r="D61" s="598"/>
      <c r="E61" s="137">
        <v>2</v>
      </c>
      <c r="F61" s="89">
        <v>44222485</v>
      </c>
      <c r="G61" s="211">
        <f>IF(ISBLANK(F61),"-",(F61/$D$50*$D$47*$B$68)*($B$57/$D$60))</f>
        <v>598.3909494428857</v>
      </c>
      <c r="H61" s="138">
        <f t="shared" si="0"/>
        <v>0.99731824907147615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595"/>
      <c r="D62" s="598"/>
      <c r="E62" s="137">
        <v>3</v>
      </c>
      <c r="F62" s="139">
        <v>43928209</v>
      </c>
      <c r="G62" s="211">
        <f>IF(ISBLANK(F62),"-",(F62/$D$50*$D$47*$B$68)*($B$57/$D$60))</f>
        <v>594.40899105591916</v>
      </c>
      <c r="H62" s="138">
        <f t="shared" si="0"/>
        <v>0.99068165175986522</v>
      </c>
      <c r="L62" s="64"/>
    </row>
    <row r="63" spans="1:12" ht="27" customHeight="1" x14ac:dyDescent="0.4">
      <c r="A63" s="76" t="s">
        <v>97</v>
      </c>
      <c r="B63" s="77">
        <v>1</v>
      </c>
      <c r="C63" s="605"/>
      <c r="D63" s="599"/>
      <c r="E63" s="140">
        <v>4</v>
      </c>
      <c r="F63" s="141"/>
      <c r="G63" s="211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594" t="s">
        <v>99</v>
      </c>
      <c r="D64" s="597">
        <f>EMCITRABINE!D64</f>
        <v>704.35</v>
      </c>
      <c r="E64" s="134">
        <v>1</v>
      </c>
      <c r="F64" s="135">
        <v>45672063</v>
      </c>
      <c r="G64" s="212">
        <f>IF(ISBLANK(F64),"-",(F64/$D$50*$D$47*$B$68)*($B$57/$D$64))</f>
        <v>600.75579404128564</v>
      </c>
      <c r="H64" s="142">
        <f t="shared" si="0"/>
        <v>1.0012596567354761</v>
      </c>
    </row>
    <row r="65" spans="1:8" ht="26.25" customHeight="1" x14ac:dyDescent="0.4">
      <c r="A65" s="76" t="s">
        <v>100</v>
      </c>
      <c r="B65" s="77">
        <v>1</v>
      </c>
      <c r="C65" s="595"/>
      <c r="D65" s="598"/>
      <c r="E65" s="137">
        <v>2</v>
      </c>
      <c r="F65" s="89">
        <v>45672347</v>
      </c>
      <c r="G65" s="213">
        <f>IF(ISBLANK(F65),"-",(F65/$D$50*$D$47*$B$68)*($B$57/$D$64))</f>
        <v>600.75952968698027</v>
      </c>
      <c r="H65" s="143">
        <f t="shared" si="0"/>
        <v>1.0012658828116339</v>
      </c>
    </row>
    <row r="66" spans="1:8" ht="26.25" customHeight="1" x14ac:dyDescent="0.4">
      <c r="A66" s="76" t="s">
        <v>101</v>
      </c>
      <c r="B66" s="77">
        <v>1</v>
      </c>
      <c r="C66" s="595"/>
      <c r="D66" s="598"/>
      <c r="E66" s="137">
        <v>3</v>
      </c>
      <c r="F66" s="89">
        <v>46092668</v>
      </c>
      <c r="G66" s="213">
        <f>IF(ISBLANK(F66),"-",(F66/$D$50*$D$47*$B$68)*($B$57/$D$64))</f>
        <v>606.28829846861447</v>
      </c>
      <c r="H66" s="143">
        <f t="shared" si="0"/>
        <v>1.0104804974476909</v>
      </c>
    </row>
    <row r="67" spans="1:8" ht="27" customHeight="1" x14ac:dyDescent="0.4">
      <c r="A67" s="76" t="s">
        <v>102</v>
      </c>
      <c r="B67" s="77">
        <v>1</v>
      </c>
      <c r="C67" s="605"/>
      <c r="D67" s="599"/>
      <c r="E67" s="140">
        <v>4</v>
      </c>
      <c r="F67" s="141"/>
      <c r="G67" s="214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594" t="s">
        <v>104</v>
      </c>
      <c r="D68" s="597">
        <f>EMCITRABINE!D68</f>
        <v>761.81</v>
      </c>
      <c r="E68" s="134">
        <v>1</v>
      </c>
      <c r="F68" s="135">
        <v>49918984</v>
      </c>
      <c r="G68" s="212">
        <f>IF(ISBLANK(F68),"-",(F68/$D$50*$D$47*$B$68)*($B$57/$D$68))</f>
        <v>607.09258206304173</v>
      </c>
      <c r="H68" s="138">
        <f t="shared" si="0"/>
        <v>1.0118209701050696</v>
      </c>
    </row>
    <row r="69" spans="1:8" ht="27" customHeight="1" x14ac:dyDescent="0.4">
      <c r="A69" s="124" t="s">
        <v>105</v>
      </c>
      <c r="B69" s="146">
        <f>(D47*B68)/B56*B57</f>
        <v>49.483283333333347</v>
      </c>
      <c r="C69" s="595"/>
      <c r="D69" s="598"/>
      <c r="E69" s="137">
        <v>2</v>
      </c>
      <c r="F69" s="89">
        <v>49906145</v>
      </c>
      <c r="G69" s="213">
        <f>IF(ISBLANK(F69),"-",(F69/$D$50*$D$47*$B$68)*($B$57/$D$68))</f>
        <v>606.93643982943559</v>
      </c>
      <c r="H69" s="138">
        <f t="shared" si="0"/>
        <v>1.0115607330490592</v>
      </c>
    </row>
    <row r="70" spans="1:8" ht="26.25" customHeight="1" x14ac:dyDescent="0.4">
      <c r="A70" s="600" t="s">
        <v>78</v>
      </c>
      <c r="B70" s="601"/>
      <c r="C70" s="595"/>
      <c r="D70" s="598"/>
      <c r="E70" s="137">
        <v>3</v>
      </c>
      <c r="F70" s="89">
        <v>50171453</v>
      </c>
      <c r="G70" s="213">
        <f>IF(ISBLANK(F70),"-",(F70/$D$50*$D$47*$B$68)*($B$57/$D$68))</f>
        <v>610.16299826183456</v>
      </c>
      <c r="H70" s="138">
        <f t="shared" si="0"/>
        <v>1.016938330436391</v>
      </c>
    </row>
    <row r="71" spans="1:8" ht="27" customHeight="1" x14ac:dyDescent="0.4">
      <c r="A71" s="602"/>
      <c r="B71" s="603"/>
      <c r="C71" s="596"/>
      <c r="D71" s="599"/>
      <c r="E71" s="140">
        <v>4</v>
      </c>
      <c r="F71" s="141"/>
      <c r="G71" s="214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19">
        <f>AVERAGE(G60:G71)</f>
        <v>601.442334247845</v>
      </c>
      <c r="H72" s="151">
        <f>AVERAGE(H60:H71)</f>
        <v>1.002403890413075</v>
      </c>
    </row>
    <row r="73" spans="1:8" ht="26.25" customHeight="1" x14ac:dyDescent="0.4">
      <c r="C73" s="148"/>
      <c r="D73" s="148"/>
      <c r="E73" s="148"/>
      <c r="F73" s="152" t="s">
        <v>84</v>
      </c>
      <c r="G73" s="215">
        <f>STDEV(G60:G71)/G72</f>
        <v>1.1714241815989939E-2</v>
      </c>
      <c r="H73" s="215">
        <f>STDEV(H60:H71)/H72</f>
        <v>1.1714241815989962E-2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9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581" t="str">
        <f>B20</f>
        <v>Efavirenz, Tenofovir Disproxil Fumarate, Emtritabine</v>
      </c>
      <c r="D76" s="581"/>
      <c r="E76" s="157" t="s">
        <v>108</v>
      </c>
      <c r="F76" s="157"/>
      <c r="G76" s="158">
        <f>H72</f>
        <v>1.002403890413075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04" t="str">
        <f>B26</f>
        <v>EFAVIRENZ</v>
      </c>
      <c r="C79" s="604"/>
    </row>
    <row r="80" spans="1:8" ht="26.25" customHeight="1" x14ac:dyDescent="0.4">
      <c r="A80" s="61" t="s">
        <v>48</v>
      </c>
      <c r="B80" s="604" t="str">
        <f>B27</f>
        <v>E15-2</v>
      </c>
      <c r="C80" s="604"/>
    </row>
    <row r="81" spans="1:12" ht="27" customHeight="1" x14ac:dyDescent="0.4">
      <c r="A81" s="61" t="s">
        <v>6</v>
      </c>
      <c r="B81" s="160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583" t="s">
        <v>50</v>
      </c>
      <c r="D82" s="584"/>
      <c r="E82" s="584"/>
      <c r="F82" s="584"/>
      <c r="G82" s="58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586" t="s">
        <v>111</v>
      </c>
      <c r="D84" s="587"/>
      <c r="E84" s="587"/>
      <c r="F84" s="587"/>
      <c r="G84" s="587"/>
      <c r="H84" s="58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586" t="s">
        <v>112</v>
      </c>
      <c r="D85" s="587"/>
      <c r="E85" s="587"/>
      <c r="F85" s="587"/>
      <c r="G85" s="587"/>
      <c r="H85" s="58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666" t="s">
        <v>58</v>
      </c>
      <c r="B89" s="667">
        <v>50</v>
      </c>
      <c r="C89" s="668"/>
      <c r="D89" s="669" t="s">
        <v>59</v>
      </c>
      <c r="E89" s="670"/>
      <c r="F89" s="671" t="s">
        <v>60</v>
      </c>
      <c r="G89" s="672"/>
    </row>
    <row r="90" spans="1:12" ht="27" customHeight="1" x14ac:dyDescent="0.4">
      <c r="A90" s="673" t="s">
        <v>130</v>
      </c>
      <c r="B90" s="674">
        <v>5</v>
      </c>
      <c r="C90" s="675" t="s">
        <v>62</v>
      </c>
      <c r="D90" s="676" t="s">
        <v>63</v>
      </c>
      <c r="E90" s="677" t="s">
        <v>64</v>
      </c>
      <c r="F90" s="676" t="s">
        <v>63</v>
      </c>
      <c r="G90" s="678" t="s">
        <v>64</v>
      </c>
      <c r="I90" s="82" t="s">
        <v>65</v>
      </c>
    </row>
    <row r="91" spans="1:12" ht="26.25" customHeight="1" x14ac:dyDescent="0.4">
      <c r="A91" s="673" t="s">
        <v>131</v>
      </c>
      <c r="B91" s="674">
        <v>100</v>
      </c>
      <c r="C91" s="679">
        <v>1</v>
      </c>
      <c r="D91" s="680">
        <v>11761713</v>
      </c>
      <c r="E91" s="681">
        <f>IF(ISBLANK(D91),"-",$D$101/$D$98*D91)</f>
        <v>23920482.082080454</v>
      </c>
      <c r="F91" s="680">
        <v>11767049</v>
      </c>
      <c r="G91" s="682">
        <f>IF(ISBLANK(F91),"-",$D$101/$F$98*F91)</f>
        <v>23084413.622631144</v>
      </c>
      <c r="I91" s="87"/>
    </row>
    <row r="92" spans="1:12" ht="26.25" customHeight="1" x14ac:dyDescent="0.4">
      <c r="A92" s="673" t="s">
        <v>132</v>
      </c>
      <c r="B92" s="674">
        <v>1</v>
      </c>
      <c r="C92" s="683">
        <v>2</v>
      </c>
      <c r="D92" s="684">
        <v>11732918</v>
      </c>
      <c r="E92" s="685">
        <f>IF(ISBLANK(D92),"-",$D$101/$D$98*D92)</f>
        <v>23861920.010250144</v>
      </c>
      <c r="F92" s="684">
        <v>11853270</v>
      </c>
      <c r="G92" s="686">
        <f>IF(ISBLANK(F92),"-",$D$101/$F$98*F92)</f>
        <v>23253560.638757013</v>
      </c>
      <c r="I92" s="591">
        <f>ABS((F96/D96*D95)-F95)/D95</f>
        <v>2.4382866668615954E-2</v>
      </c>
    </row>
    <row r="93" spans="1:12" ht="26.25" customHeight="1" x14ac:dyDescent="0.4">
      <c r="A93" s="673" t="s">
        <v>133</v>
      </c>
      <c r="B93" s="674">
        <v>1</v>
      </c>
      <c r="C93" s="683">
        <v>3</v>
      </c>
      <c r="D93" s="684">
        <v>11686830</v>
      </c>
      <c r="E93" s="685">
        <f>IF(ISBLANK(D93),"-",$D$101/$D$98*D93)</f>
        <v>23768188.155187964</v>
      </c>
      <c r="F93" s="684">
        <v>11994054</v>
      </c>
      <c r="G93" s="686">
        <f>IF(ISBLANK(F93),"-",$D$101/$F$98*F93)</f>
        <v>23529748.499234904</v>
      </c>
      <c r="I93" s="591"/>
    </row>
    <row r="94" spans="1:12" ht="27" customHeight="1" x14ac:dyDescent="0.4">
      <c r="A94" s="673" t="s">
        <v>134</v>
      </c>
      <c r="B94" s="674">
        <v>1</v>
      </c>
      <c r="C94" s="687">
        <v>4</v>
      </c>
      <c r="D94" s="688"/>
      <c r="E94" s="689" t="str">
        <f>IF(ISBLANK(D94),"-",$D$101/$D$98*D94)</f>
        <v>-</v>
      </c>
      <c r="F94" s="690"/>
      <c r="G94" s="691" t="str">
        <f>IF(ISBLANK(F94),"-",$D$101/$F$98*F94)</f>
        <v>-</v>
      </c>
      <c r="I94" s="97"/>
    </row>
    <row r="95" spans="1:12" ht="27" customHeight="1" x14ac:dyDescent="0.4">
      <c r="A95" s="673" t="s">
        <v>135</v>
      </c>
      <c r="B95" s="674">
        <v>1</v>
      </c>
      <c r="C95" s="692" t="s">
        <v>71</v>
      </c>
      <c r="D95" s="693">
        <f>AVERAGE(D91:D94)</f>
        <v>11727153.666666666</v>
      </c>
      <c r="E95" s="694">
        <f>AVERAGE(E91:E94)</f>
        <v>23850196.749172855</v>
      </c>
      <c r="F95" s="695">
        <f>AVERAGE(F91:F94)</f>
        <v>11871457.666666666</v>
      </c>
      <c r="G95" s="696">
        <f>AVERAGE(G91:G94)</f>
        <v>23289240.920207683</v>
      </c>
    </row>
    <row r="96" spans="1:12" ht="26.25" customHeight="1" x14ac:dyDescent="0.4">
      <c r="A96" s="673" t="s">
        <v>136</v>
      </c>
      <c r="B96" s="697">
        <v>1</v>
      </c>
      <c r="C96" s="698" t="s">
        <v>113</v>
      </c>
      <c r="D96" s="701">
        <v>29.71</v>
      </c>
      <c r="E96" s="700"/>
      <c r="F96" s="699">
        <v>30.8</v>
      </c>
      <c r="G96" s="668"/>
    </row>
    <row r="97" spans="1:10" ht="26.25" customHeight="1" x14ac:dyDescent="0.4">
      <c r="A97" s="76" t="s">
        <v>74</v>
      </c>
      <c r="B97" s="62">
        <v>1</v>
      </c>
      <c r="C97" s="163" t="s">
        <v>114</v>
      </c>
      <c r="D97" s="164">
        <f>D96*$B$87</f>
        <v>29.71</v>
      </c>
      <c r="E97" s="107"/>
      <c r="F97" s="106">
        <f>F96*$B$87</f>
        <v>30.8</v>
      </c>
    </row>
    <row r="98" spans="1:10" ht="19.5" customHeight="1" x14ac:dyDescent="0.3">
      <c r="A98" s="76" t="s">
        <v>76</v>
      </c>
      <c r="B98" s="165">
        <f>(B97/B96)*(B95/B94)*(B93/B92)*(B91/B90)*B89</f>
        <v>1000</v>
      </c>
      <c r="C98" s="163" t="s">
        <v>115</v>
      </c>
      <c r="D98" s="166">
        <f>D97*$B$83/100</f>
        <v>29.502030000000001</v>
      </c>
      <c r="E98" s="110"/>
      <c r="F98" s="109">
        <f>F97*$B$83/100</f>
        <v>30.584400000000002</v>
      </c>
    </row>
    <row r="99" spans="1:10" ht="19.5" customHeight="1" x14ac:dyDescent="0.3">
      <c r="A99" s="577" t="s">
        <v>78</v>
      </c>
      <c r="B99" s="592"/>
      <c r="C99" s="163" t="s">
        <v>116</v>
      </c>
      <c r="D99" s="167">
        <f>D98/$B$98</f>
        <v>2.9502030000000002E-2</v>
      </c>
      <c r="E99" s="110"/>
      <c r="F99" s="113">
        <f>F98/$B$98</f>
        <v>3.0584400000000001E-2</v>
      </c>
      <c r="G99" s="168"/>
      <c r="H99" s="102"/>
    </row>
    <row r="100" spans="1:10" ht="19.5" customHeight="1" x14ac:dyDescent="0.3">
      <c r="A100" s="579"/>
      <c r="B100" s="593"/>
      <c r="C100" s="163" t="s">
        <v>80</v>
      </c>
      <c r="D100" s="169">
        <f>$B$56/$B$116</f>
        <v>0.06</v>
      </c>
      <c r="F100" s="118"/>
      <c r="G100" s="170"/>
      <c r="H100" s="102"/>
    </row>
    <row r="101" spans="1:10" ht="18.75" x14ac:dyDescent="0.3">
      <c r="C101" s="163" t="s">
        <v>81</v>
      </c>
      <c r="D101" s="164">
        <f>D100*$B$98</f>
        <v>60</v>
      </c>
      <c r="F101" s="118"/>
      <c r="G101" s="168"/>
      <c r="H101" s="102"/>
    </row>
    <row r="102" spans="1:10" ht="19.5" customHeight="1" x14ac:dyDescent="0.3">
      <c r="C102" s="171" t="s">
        <v>82</v>
      </c>
      <c r="D102" s="172">
        <f>D101/B34</f>
        <v>60</v>
      </c>
      <c r="F102" s="122"/>
      <c r="G102" s="168"/>
      <c r="H102" s="102"/>
      <c r="J102" s="173"/>
    </row>
    <row r="103" spans="1:10" ht="18.75" x14ac:dyDescent="0.3">
      <c r="C103" s="174" t="s">
        <v>117</v>
      </c>
      <c r="D103" s="175">
        <f>AVERAGE(E91:E94,G91:G94)</f>
        <v>23569718.834690273</v>
      </c>
      <c r="F103" s="122"/>
      <c r="G103" s="176"/>
      <c r="H103" s="102"/>
      <c r="J103" s="177"/>
    </row>
    <row r="104" spans="1:10" ht="18.75" x14ac:dyDescent="0.3">
      <c r="C104" s="152" t="s">
        <v>84</v>
      </c>
      <c r="D104" s="178">
        <f>STDEV(E91:E94,G91:G94)/D103</f>
        <v>1.451090303599918E-2</v>
      </c>
      <c r="F104" s="122"/>
      <c r="G104" s="168"/>
      <c r="H104" s="102"/>
      <c r="J104" s="177"/>
    </row>
    <row r="105" spans="1:10" ht="19.5" customHeight="1" x14ac:dyDescent="0.3">
      <c r="C105" s="154" t="s">
        <v>20</v>
      </c>
      <c r="D105" s="179">
        <f>COUNT(E91:E94,G91:G94)</f>
        <v>6</v>
      </c>
      <c r="F105" s="122"/>
      <c r="G105" s="168"/>
      <c r="H105" s="102"/>
      <c r="J105" s="177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1000</v>
      </c>
      <c r="C107" s="180" t="s">
        <v>119</v>
      </c>
      <c r="D107" s="181" t="s">
        <v>63</v>
      </c>
      <c r="E107" s="182" t="s">
        <v>120</v>
      </c>
      <c r="F107" s="183" t="s">
        <v>121</v>
      </c>
    </row>
    <row r="108" spans="1:10" ht="26.25" customHeight="1" x14ac:dyDescent="0.4">
      <c r="A108" s="76" t="s">
        <v>122</v>
      </c>
      <c r="B108" s="77">
        <v>5</v>
      </c>
      <c r="C108" s="184">
        <v>1</v>
      </c>
      <c r="D108" s="185">
        <v>20831302</v>
      </c>
      <c r="E108" s="216">
        <f t="shared" ref="E108:E113" si="1">IF(ISBLANK(D108),"-",D108/$D$103*$D$100*$B$116)</f>
        <v>530.28978782742627</v>
      </c>
      <c r="F108" s="186">
        <f t="shared" ref="F108:F113" si="2">IF(ISBLANK(D108), "-", E108/$B$56)</f>
        <v>0.8838163130457104</v>
      </c>
    </row>
    <row r="109" spans="1:10" ht="26.25" customHeight="1" x14ac:dyDescent="0.4">
      <c r="A109" s="76" t="s">
        <v>95</v>
      </c>
      <c r="B109" s="77">
        <v>50</v>
      </c>
      <c r="C109" s="184">
        <v>2</v>
      </c>
      <c r="D109" s="185">
        <v>23553037</v>
      </c>
      <c r="E109" s="217">
        <f t="shared" si="1"/>
        <v>599.57534067825054</v>
      </c>
      <c r="F109" s="187">
        <f t="shared" si="2"/>
        <v>0.99929223446375093</v>
      </c>
    </row>
    <row r="110" spans="1:10" ht="26.25" customHeight="1" x14ac:dyDescent="0.4">
      <c r="A110" s="76" t="s">
        <v>96</v>
      </c>
      <c r="B110" s="77">
        <v>1</v>
      </c>
      <c r="C110" s="184">
        <v>3</v>
      </c>
      <c r="D110" s="185">
        <v>22882175</v>
      </c>
      <c r="E110" s="217">
        <f t="shared" si="1"/>
        <v>582.49761468486417</v>
      </c>
      <c r="F110" s="187">
        <f t="shared" si="2"/>
        <v>0.97082935780810697</v>
      </c>
    </row>
    <row r="111" spans="1:10" ht="26.25" customHeight="1" x14ac:dyDescent="0.4">
      <c r="A111" s="76" t="s">
        <v>97</v>
      </c>
      <c r="B111" s="77">
        <v>1</v>
      </c>
      <c r="C111" s="184">
        <v>4</v>
      </c>
      <c r="D111" s="185">
        <v>23937828</v>
      </c>
      <c r="E111" s="217">
        <f t="shared" si="1"/>
        <v>609.37073117990531</v>
      </c>
      <c r="F111" s="187">
        <f t="shared" si="2"/>
        <v>1.0156178852998421</v>
      </c>
    </row>
    <row r="112" spans="1:10" ht="26.25" customHeight="1" x14ac:dyDescent="0.4">
      <c r="A112" s="76" t="s">
        <v>98</v>
      </c>
      <c r="B112" s="77">
        <v>1</v>
      </c>
      <c r="C112" s="184">
        <v>5</v>
      </c>
      <c r="D112" s="185">
        <v>23171037</v>
      </c>
      <c r="E112" s="217">
        <f t="shared" si="1"/>
        <v>589.8509989664326</v>
      </c>
      <c r="F112" s="187">
        <f t="shared" si="2"/>
        <v>0.98308499827738771</v>
      </c>
    </row>
    <row r="113" spans="1:10" ht="26.25" customHeight="1" x14ac:dyDescent="0.4">
      <c r="A113" s="76" t="s">
        <v>100</v>
      </c>
      <c r="B113" s="77">
        <v>1</v>
      </c>
      <c r="C113" s="188">
        <v>6</v>
      </c>
      <c r="D113" s="189">
        <v>22177430</v>
      </c>
      <c r="E113" s="218">
        <f t="shared" si="1"/>
        <v>564.55734976419615</v>
      </c>
      <c r="F113" s="190">
        <f t="shared" si="2"/>
        <v>0.94092891627366027</v>
      </c>
    </row>
    <row r="114" spans="1:10" ht="26.25" customHeight="1" x14ac:dyDescent="0.4">
      <c r="A114" s="76" t="s">
        <v>101</v>
      </c>
      <c r="B114" s="77">
        <v>1</v>
      </c>
      <c r="C114" s="184"/>
      <c r="D114" s="149"/>
      <c r="E114" s="50"/>
      <c r="F114" s="191"/>
    </row>
    <row r="115" spans="1:10" ht="26.25" customHeight="1" x14ac:dyDescent="0.4">
      <c r="A115" s="76" t="s">
        <v>102</v>
      </c>
      <c r="B115" s="77">
        <v>1</v>
      </c>
      <c r="C115" s="184"/>
      <c r="D115" s="192" t="s">
        <v>71</v>
      </c>
      <c r="E115" s="220">
        <f>AVERAGE(E108:E113)</f>
        <v>579.35697051684576</v>
      </c>
      <c r="F115" s="193">
        <f>AVERAGE(F108:F113)</f>
        <v>0.96559495086140956</v>
      </c>
    </row>
    <row r="116" spans="1:10" ht="27" customHeight="1" x14ac:dyDescent="0.4">
      <c r="A116" s="76" t="s">
        <v>103</v>
      </c>
      <c r="B116" s="108">
        <f>(B115/B114)*(B113/B112)*(B111/B110)*(B109/B108)*B107</f>
        <v>10000</v>
      </c>
      <c r="C116" s="194"/>
      <c r="D116" s="162" t="s">
        <v>84</v>
      </c>
      <c r="E116" s="195">
        <f>STDEV(E108:E113)/E115</f>
        <v>4.9161958966260751E-2</v>
      </c>
      <c r="F116" s="195">
        <f>STDEV(F108:F113)/F115</f>
        <v>4.9161958966260758E-2</v>
      </c>
      <c r="I116" s="50"/>
    </row>
    <row r="117" spans="1:10" ht="27" customHeight="1" x14ac:dyDescent="0.4">
      <c r="A117" s="577" t="s">
        <v>78</v>
      </c>
      <c r="B117" s="578"/>
      <c r="C117" s="196"/>
      <c r="D117" s="197" t="s">
        <v>20</v>
      </c>
      <c r="E117" s="198">
        <f>COUNT(E108:E113)</f>
        <v>6</v>
      </c>
      <c r="F117" s="198">
        <f>COUNT(F108:F113)</f>
        <v>6</v>
      </c>
      <c r="I117" s="50"/>
      <c r="J117" s="177"/>
    </row>
    <row r="118" spans="1:10" ht="19.5" customHeight="1" x14ac:dyDescent="0.3">
      <c r="A118" s="579"/>
      <c r="B118" s="580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07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581" t="str">
        <f>B20</f>
        <v>Efavirenz, Tenofovir Disproxil Fumarate, Emtritabine</v>
      </c>
      <c r="D120" s="581"/>
      <c r="E120" s="157" t="s">
        <v>124</v>
      </c>
      <c r="F120" s="157"/>
      <c r="G120" s="158">
        <f>F115</f>
        <v>0.96559495086140956</v>
      </c>
      <c r="H120" s="50"/>
      <c r="I120" s="50"/>
    </row>
    <row r="121" spans="1:10" ht="19.5" customHeight="1" x14ac:dyDescent="0.3">
      <c r="A121" s="199"/>
      <c r="B121" s="199"/>
      <c r="C121" s="200"/>
      <c r="D121" s="200"/>
      <c r="E121" s="200"/>
      <c r="F121" s="200"/>
      <c r="G121" s="200"/>
      <c r="H121" s="200"/>
    </row>
    <row r="122" spans="1:10" ht="18.75" x14ac:dyDescent="0.3">
      <c r="B122" s="582" t="s">
        <v>26</v>
      </c>
      <c r="C122" s="582"/>
      <c r="E122" s="161" t="s">
        <v>27</v>
      </c>
      <c r="F122" s="201"/>
      <c r="G122" s="582" t="s">
        <v>28</v>
      </c>
      <c r="H122" s="582"/>
    </row>
    <row r="123" spans="1:10" ht="69.95" customHeight="1" x14ac:dyDescent="0.3">
      <c r="A123" s="202" t="s">
        <v>29</v>
      </c>
      <c r="B123" s="203"/>
      <c r="C123" s="203"/>
      <c r="E123" s="203"/>
      <c r="F123" s="50"/>
      <c r="G123" s="204"/>
      <c r="H123" s="204"/>
    </row>
    <row r="124" spans="1:10" ht="69.95" customHeight="1" x14ac:dyDescent="0.3">
      <c r="A124" s="202" t="s">
        <v>30</v>
      </c>
      <c r="B124" s="205"/>
      <c r="C124" s="205"/>
      <c r="E124" s="205"/>
      <c r="F124" s="50"/>
      <c r="G124" s="206"/>
      <c r="H124" s="206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5">
    <mergeCell ref="B26:C26"/>
    <mergeCell ref="A16:H16"/>
    <mergeCell ref="A17:H17"/>
    <mergeCell ref="B18:C18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(EM)</vt:lpstr>
      <vt:lpstr>SST (TDF)</vt:lpstr>
      <vt:lpstr>SST (EFV)</vt:lpstr>
      <vt:lpstr>Uniformity</vt:lpstr>
      <vt:lpstr>EMCITRABINE</vt:lpstr>
      <vt:lpstr>TENOFOVIR DISOPROXIL FUMERATE</vt:lpstr>
      <vt:lpstr>EFAVIRENZ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dcterms:created xsi:type="dcterms:W3CDTF">2005-07-05T10:19:27Z</dcterms:created>
  <dcterms:modified xsi:type="dcterms:W3CDTF">2016-06-14T11:10:56Z</dcterms:modified>
  <cp:category/>
</cp:coreProperties>
</file>