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6"/>
  </bookViews>
  <sheets>
    <sheet name="SST EFV" sheetId="1" r:id="rId1"/>
    <sheet name="SST 3TC" sheetId="12" r:id="rId2"/>
    <sheet name="SST TDF" sheetId="13" r:id="rId3"/>
    <sheet name="Uniformity" sheetId="2" r:id="rId4"/>
    <sheet name="Efavirenz" sheetId="3" r:id="rId5"/>
    <sheet name="Lamivudine" sheetId="4" r:id="rId6"/>
    <sheet name="Tenofovir Disoproxil" sheetId="5" r:id="rId7"/>
  </sheets>
  <definedNames>
    <definedName name="_xlnm.Print_Area" localSheetId="4">Efavirenz!$A$1:$I$125</definedName>
    <definedName name="_xlnm.Print_Area" localSheetId="5">Lamivudine!$A$1:$H$125</definedName>
    <definedName name="_xlnm.Print_Area" localSheetId="6">'Tenofovir Disoproxil'!$A$1:$H$125</definedName>
    <definedName name="_xlnm.Print_Area" localSheetId="3">Uniformity!$A$1:$F$54</definedName>
  </definedNames>
  <calcPr calcId="144525"/>
</workbook>
</file>

<file path=xl/calcChain.xml><?xml version="1.0" encoding="utf-8"?>
<calcChain xmlns="http://schemas.openxmlformats.org/spreadsheetml/2006/main">
  <c r="E91" i="5" l="1"/>
  <c r="B42" i="13"/>
  <c r="B42" i="12"/>
  <c r="B42" i="1"/>
  <c r="B45" i="5" l="1"/>
  <c r="B30" i="5"/>
  <c r="E38" i="4"/>
  <c r="B53" i="13"/>
  <c r="E51" i="13"/>
  <c r="D51" i="13"/>
  <c r="C51" i="13"/>
  <c r="B51" i="13"/>
  <c r="B52" i="13" s="1"/>
  <c r="B32" i="13"/>
  <c r="E30" i="13"/>
  <c r="D30" i="13"/>
  <c r="C30" i="13"/>
  <c r="B30" i="13"/>
  <c r="B31" i="13" s="1"/>
  <c r="B53" i="12"/>
  <c r="E51" i="12"/>
  <c r="D51" i="12"/>
  <c r="C51" i="12"/>
  <c r="B51" i="12"/>
  <c r="B52" i="12" s="1"/>
  <c r="B32" i="12"/>
  <c r="E30" i="12"/>
  <c r="D30" i="12"/>
  <c r="C30" i="12"/>
  <c r="B30" i="12"/>
  <c r="B31" i="12" s="1"/>
  <c r="E38" i="3"/>
  <c r="B34" i="3"/>
  <c r="C120" i="5"/>
  <c r="B116" i="5"/>
  <c r="D100" i="5" s="1"/>
  <c r="B98" i="5"/>
  <c r="D97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D48" i="5"/>
  <c r="F42" i="5"/>
  <c r="D42" i="5"/>
  <c r="B34" i="5"/>
  <c r="F44" i="5" s="1"/>
  <c r="C120" i="4"/>
  <c r="B116" i="4"/>
  <c r="D100" i="4" s="1"/>
  <c r="B98" i="4"/>
  <c r="D97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0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I39" i="3" s="1"/>
  <c r="D42" i="3"/>
  <c r="F44" i="3"/>
  <c r="B30" i="3"/>
  <c r="C46" i="2"/>
  <c r="C45" i="2"/>
  <c r="D41" i="2"/>
  <c r="D37" i="2"/>
  <c r="D33" i="2"/>
  <c r="D29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5" l="1"/>
  <c r="I92" i="3"/>
  <c r="D101" i="3"/>
  <c r="D101" i="5"/>
  <c r="G94" i="5" s="1"/>
  <c r="I39" i="5"/>
  <c r="F45" i="5"/>
  <c r="D101" i="4"/>
  <c r="I92" i="4"/>
  <c r="I39" i="4"/>
  <c r="F45" i="4"/>
  <c r="G41" i="4" s="1"/>
  <c r="F45" i="3"/>
  <c r="F46" i="3" s="1"/>
  <c r="F98" i="3"/>
  <c r="G94" i="3" s="1"/>
  <c r="F46" i="4"/>
  <c r="D98" i="4"/>
  <c r="D98" i="3"/>
  <c r="F98" i="4"/>
  <c r="G94" i="4" s="1"/>
  <c r="C50" i="2"/>
  <c r="D26" i="2"/>
  <c r="D30" i="2"/>
  <c r="D34" i="2"/>
  <c r="D38" i="2"/>
  <c r="D42" i="2"/>
  <c r="B49" i="2"/>
  <c r="D50" i="2"/>
  <c r="D44" i="3"/>
  <c r="D45" i="3" s="1"/>
  <c r="E40" i="3" s="1"/>
  <c r="D49" i="3"/>
  <c r="G93" i="3"/>
  <c r="G38" i="4"/>
  <c r="D44" i="4"/>
  <c r="D45" i="4" s="1"/>
  <c r="D49" i="4"/>
  <c r="G93" i="4"/>
  <c r="D44" i="5"/>
  <c r="D45" i="5" s="1"/>
  <c r="D49" i="5"/>
  <c r="D98" i="5"/>
  <c r="D27" i="2"/>
  <c r="D31" i="2"/>
  <c r="D35" i="2"/>
  <c r="D39" i="2"/>
  <c r="D43" i="2"/>
  <c r="C49" i="2"/>
  <c r="G40" i="3"/>
  <c r="E39" i="4"/>
  <c r="F98" i="5"/>
  <c r="D24" i="2"/>
  <c r="D28" i="2"/>
  <c r="D32" i="2"/>
  <c r="D36" i="2"/>
  <c r="D40" i="2"/>
  <c r="D49" i="2"/>
  <c r="G39" i="3"/>
  <c r="B57" i="3"/>
  <c r="B69" i="3" s="1"/>
  <c r="G39" i="4"/>
  <c r="B57" i="4"/>
  <c r="B69" i="4" s="1"/>
  <c r="B57" i="5"/>
  <c r="B69" i="5" s="1"/>
  <c r="E94" i="5"/>
  <c r="G92" i="5" l="1"/>
  <c r="D102" i="5"/>
  <c r="G91" i="4"/>
  <c r="E91" i="4"/>
  <c r="D102" i="4"/>
  <c r="D102" i="3"/>
  <c r="G91" i="3"/>
  <c r="E92" i="3"/>
  <c r="E91" i="3"/>
  <c r="E94" i="3"/>
  <c r="G92" i="3"/>
  <c r="G93" i="5"/>
  <c r="E41" i="5"/>
  <c r="E38" i="5"/>
  <c r="F46" i="5"/>
  <c r="G38" i="5"/>
  <c r="G40" i="5"/>
  <c r="G41" i="5"/>
  <c r="E39" i="5"/>
  <c r="E92" i="5"/>
  <c r="G39" i="5"/>
  <c r="G40" i="4"/>
  <c r="G42" i="4"/>
  <c r="E92" i="4"/>
  <c r="E94" i="4"/>
  <c r="G92" i="4"/>
  <c r="G38" i="3"/>
  <c r="G41" i="3"/>
  <c r="E39" i="3"/>
  <c r="D46" i="4"/>
  <c r="D99" i="3"/>
  <c r="E93" i="3"/>
  <c r="D46" i="5"/>
  <c r="E40" i="4"/>
  <c r="D99" i="4"/>
  <c r="E93" i="4"/>
  <c r="G91" i="5"/>
  <c r="F99" i="5"/>
  <c r="E40" i="5"/>
  <c r="F99" i="4"/>
  <c r="F99" i="3"/>
  <c r="D99" i="5"/>
  <c r="E93" i="5"/>
  <c r="D46" i="3"/>
  <c r="E41" i="4"/>
  <c r="E41" i="3"/>
  <c r="G95" i="5" l="1"/>
  <c r="E95" i="3"/>
  <c r="G95" i="3"/>
  <c r="D103" i="5"/>
  <c r="E113" i="5" s="1"/>
  <c r="F113" i="5" s="1"/>
  <c r="E95" i="5"/>
  <c r="G42" i="5"/>
  <c r="D105" i="5"/>
  <c r="D105" i="4"/>
  <c r="D103" i="4"/>
  <c r="D104" i="4" s="1"/>
  <c r="G95" i="4"/>
  <c r="E95" i="4"/>
  <c r="D103" i="3"/>
  <c r="D104" i="3" s="1"/>
  <c r="G42" i="3"/>
  <c r="D50" i="3"/>
  <c r="E42" i="3"/>
  <c r="D52" i="3"/>
  <c r="D105" i="3"/>
  <c r="D50" i="4"/>
  <c r="E42" i="4"/>
  <c r="D52" i="4"/>
  <c r="D50" i="5"/>
  <c r="E42" i="5"/>
  <c r="D52" i="5"/>
  <c r="D104" i="5"/>
  <c r="E111" i="3" l="1"/>
  <c r="F111" i="3" s="1"/>
  <c r="E109" i="3"/>
  <c r="F109" i="3" s="1"/>
  <c r="E108" i="3"/>
  <c r="F108" i="3" s="1"/>
  <c r="E110" i="3"/>
  <c r="F110" i="3" s="1"/>
  <c r="E110" i="5"/>
  <c r="F110" i="5" s="1"/>
  <c r="E112" i="5"/>
  <c r="F112" i="5" s="1"/>
  <c r="E109" i="5"/>
  <c r="F109" i="5" s="1"/>
  <c r="E108" i="5"/>
  <c r="E111" i="5"/>
  <c r="F111" i="5" s="1"/>
  <c r="E113" i="4"/>
  <c r="F113" i="4" s="1"/>
  <c r="E109" i="4"/>
  <c r="F109" i="4" s="1"/>
  <c r="E111" i="4"/>
  <c r="F111" i="4" s="1"/>
  <c r="E108" i="4"/>
  <c r="F108" i="4" s="1"/>
  <c r="E110" i="4"/>
  <c r="F110" i="4" s="1"/>
  <c r="E112" i="4"/>
  <c r="F112" i="4" s="1"/>
  <c r="E112" i="3"/>
  <c r="F112" i="3" s="1"/>
  <c r="E113" i="3"/>
  <c r="F113" i="3" s="1"/>
  <c r="D51" i="4"/>
  <c r="G70" i="4"/>
  <c r="H70" i="4" s="1"/>
  <c r="G65" i="4"/>
  <c r="H65" i="4" s="1"/>
  <c r="G61" i="4"/>
  <c r="H61" i="4" s="1"/>
  <c r="G68" i="4"/>
  <c r="H68" i="4" s="1"/>
  <c r="G69" i="4"/>
  <c r="H69" i="4" s="1"/>
  <c r="G66" i="4"/>
  <c r="H66" i="4" s="1"/>
  <c r="G64" i="4"/>
  <c r="H64" i="4" s="1"/>
  <c r="G62" i="4"/>
  <c r="H62" i="4" s="1"/>
  <c r="G60" i="4"/>
  <c r="G68" i="5"/>
  <c r="H68" i="5" s="1"/>
  <c r="G70" i="5"/>
  <c r="H70" i="5" s="1"/>
  <c r="G69" i="5"/>
  <c r="H69" i="5" s="1"/>
  <c r="G65" i="5"/>
  <c r="H65" i="5" s="1"/>
  <c r="G62" i="5"/>
  <c r="H62" i="5" s="1"/>
  <c r="D51" i="5"/>
  <c r="G67" i="5"/>
  <c r="H67" i="5" s="1"/>
  <c r="G64" i="5"/>
  <c r="H64" i="5" s="1"/>
  <c r="G66" i="5"/>
  <c r="H66" i="5" s="1"/>
  <c r="G61" i="5"/>
  <c r="H61" i="5" s="1"/>
  <c r="G71" i="5"/>
  <c r="H71" i="5" s="1"/>
  <c r="G63" i="5"/>
  <c r="H63" i="5" s="1"/>
  <c r="G60" i="5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E115" i="5" l="1"/>
  <c r="E116" i="5" s="1"/>
  <c r="F108" i="5"/>
  <c r="F115" i="5" s="1"/>
  <c r="E117" i="5"/>
  <c r="E115" i="4"/>
  <c r="E116" i="4" s="1"/>
  <c r="E117" i="4"/>
  <c r="E117" i="3"/>
  <c r="E115" i="3"/>
  <c r="E116" i="3" s="1"/>
  <c r="G74" i="3"/>
  <c r="G72" i="3"/>
  <c r="G73" i="3" s="1"/>
  <c r="H60" i="3"/>
  <c r="G74" i="4"/>
  <c r="G72" i="4"/>
  <c r="G73" i="4" s="1"/>
  <c r="H60" i="4"/>
  <c r="F117" i="4"/>
  <c r="F115" i="4"/>
  <c r="H60" i="5"/>
  <c r="G74" i="5"/>
  <c r="G72" i="5"/>
  <c r="G73" i="5" s="1"/>
  <c r="F117" i="3"/>
  <c r="F115" i="3"/>
  <c r="F117" i="5" l="1"/>
  <c r="G120" i="3"/>
  <c r="F116" i="3"/>
  <c r="H74" i="5"/>
  <c r="H72" i="5"/>
  <c r="G120" i="4"/>
  <c r="F116" i="4"/>
  <c r="H74" i="4"/>
  <c r="H72" i="4"/>
  <c r="G76" i="4" s="1"/>
  <c r="H74" i="3"/>
  <c r="H72" i="3"/>
  <c r="G120" i="5"/>
  <c r="F116" i="5"/>
  <c r="G76" i="3" l="1"/>
  <c r="H73" i="3"/>
  <c r="G76" i="5"/>
  <c r="H73" i="5"/>
  <c r="H73" i="4"/>
</calcChain>
</file>

<file path=xl/sharedStrings.xml><?xml version="1.0" encoding="utf-8"?>
<sst xmlns="http://schemas.openxmlformats.org/spreadsheetml/2006/main" count="665" uniqueCount="138">
  <si>
    <t>HPLC System Suitability Report</t>
  </si>
  <si>
    <t>Analysis Data</t>
  </si>
  <si>
    <t>Assay</t>
  </si>
  <si>
    <t>Sample(s)</t>
  </si>
  <si>
    <t>Reference Substance:</t>
  </si>
  <si>
    <t>FORSTAVIR-LE</t>
  </si>
  <si>
    <t>% age Purity:</t>
  </si>
  <si>
    <t>NDQD201509266</t>
  </si>
  <si>
    <t>Weight (mg):</t>
  </si>
  <si>
    <t>Efavirenz, Tenofovir Disproxil Fumarate, Lamivudine</t>
  </si>
  <si>
    <t>Standard Conc (mg/mL):</t>
  </si>
  <si>
    <t>Each film coated tablet contains:
Efavirens USP 600 mg
Lamivudine USP 300 mg
Tenofovir Disproxil Fumarate 300 mg equivalent to Tenofovir Disproxil 245 mg</t>
  </si>
  <si>
    <t>2015-09-09 12:08:02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</si>
  <si>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</si>
  <si>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</si>
  <si>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</si>
  <si>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</si>
  <si>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</si>
  <si>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</si>
  <si>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</si>
  <si>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</si>
  <si>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</si>
  <si>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</si>
  <si>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</si>
  <si>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</si>
  <si>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</si>
  <si>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</si>
  <si>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</si>
  <si>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</si>
  <si>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</si>
  <si>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</si>
  <si>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</si>
  <si>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</si>
  <si>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</si>
  <si>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</si>
  <si>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</si>
  <si>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</si>
  <si>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</si>
  <si>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</si>
  <si>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</si>
  <si>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</si>
  <si>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</si>
  <si>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</si>
  <si>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</si>
  <si>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</si>
  <si>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</si>
  <si>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</si>
  <si>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</si>
  <si>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</si>
  <si>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</si>
  <si>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</si>
  <si>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</si>
  <si>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</si>
  <si>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</si>
  <si>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</si>
  <si>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</si>
  <si>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</si>
  <si>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</si>
  <si>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</si>
  <si>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</si>
  <si>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</si>
  <si>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</si>
  <si>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</si>
  <si>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</si>
  <si>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</si>
  <si>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</si>
  <si>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</si>
  <si>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</si>
  <si>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</si>
  <si>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</si>
  <si>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</si>
  <si>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</si>
  <si>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</si>
  <si>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</si>
  <si>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</si>
  <si>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</si>
  <si>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</si>
  <si>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</si>
  <si>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</si>
  <si>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</si>
  <si>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</si>
  <si>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</si>
  <si>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</si>
  <si>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</si>
  <si>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</si>
  <si>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</si>
  <si>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</si>
  <si>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</si>
  <si>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</si>
  <si>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</si>
  <si>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</si>
  <si>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</si>
  <si>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</si>
  <si>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</si>
  <si>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</si>
  <si>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</si>
  <si>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</si>
  <si>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</si>
  <si>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</si>
  <si>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</si>
  <si>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</si>
  <si>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</si>
  <si>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</si>
  <si>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</si>
  <si>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</si>
  <si>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</si>
  <si>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</si>
  <si>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</si>
  <si>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</si>
  <si>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</si>
  <si>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</si>
  <si>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</si>
  <si>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</si>
  <si>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</si>
  <si>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</si>
  <si>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</si>
  <si>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</si>
  <si>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</si>
  <si>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</si>
  <si>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</si>
  <si>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</si>
  <si>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</si>
  <si>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</si>
  <si>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</si>
  <si>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</si>
  <si>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Efavirenz</t>
  </si>
  <si>
    <t>E15-3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</si>
  <si>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1000</t>
    </r>
  </si>
  <si>
    <t>Lamivudine</t>
  </si>
  <si>
    <t>WRS PN 15-105</t>
  </si>
  <si>
    <t>Tenofovir Disoproxil Fumarate</t>
  </si>
  <si>
    <t>T11-1</t>
  </si>
  <si>
    <t>Dr. Sarah Mwangi</t>
  </si>
  <si>
    <t>28th October 2015</t>
  </si>
  <si>
    <t>Tenofovir DF</t>
  </si>
  <si>
    <t>Dr Sarah Mwangi</t>
  </si>
  <si>
    <t xml:space="preserve"> </t>
  </si>
  <si>
    <t xml:space="preserve"> Tenofovir Disproxil Fumarate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</si>
</sst>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3" fillId="3" borderId="22" xfId="0" applyFont="1" applyFill="1" applyBorder="1" applyAlignment="1" applyProtection="1">
      <alignment horizontal="center"/>
      <protection locked="0"/>
    </xf>
    <xf numFmtId="0" fontId="13" fillId="3" borderId="24" xfId="0" applyFont="1" applyFill="1" applyBorder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13" fillId="3" borderId="16" xfId="0" applyFont="1" applyFill="1" applyBorder="1" applyAlignment="1" applyProtection="1">
      <alignment horizontal="center"/>
      <protection locked="0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2" fillId="2" borderId="0" xfId="0" applyFont="1" applyFill="1"/>
    <xf numFmtId="2" fontId="13" fillId="3" borderId="16" xfId="0" applyNumberFormat="1" applyFont="1" applyFill="1" applyBorder="1" applyAlignment="1" applyProtection="1">
      <alignment horizontal="center"/>
      <protection locked="0"/>
    </xf>
    <xf numFmtId="173" fontId="7" fillId="3" borderId="3" xfId="0" applyNumberFormat="1" applyFont="1" applyFill="1" applyBorder="1" applyAlignment="1" applyProtection="1">
      <alignment horizontal="center"/>
      <protection locked="0"/>
    </xf>
    <xf numFmtId="2" fontId="13" fillId="3" borderId="52" xfId="0" applyNumberFormat="1" applyFont="1" applyFill="1" applyBorder="1" applyAlignment="1" applyProtection="1">
      <alignment horizontal="center"/>
      <protection locked="0"/>
    </xf>
    <xf numFmtId="0" fontId="25" fillId="3" borderId="3" xfId="0" applyFont="1" applyFill="1" applyBorder="1" applyAlignment="1" applyProtection="1">
      <alignment horizontal="center"/>
      <protection locked="0"/>
    </xf>
    <xf numFmtId="0" fontId="25" fillId="3" borderId="5" xfId="0" applyFont="1" applyFill="1" applyBorder="1" applyAlignment="1" applyProtection="1">
      <alignment horizontal="center"/>
      <protection locked="0"/>
    </xf>
    <xf numFmtId="0" fontId="24" fillId="2" borderId="7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2" fontId="5" fillId="2" borderId="0" xfId="0" applyNumberFormat="1" applyFont="1" applyFill="1" applyAlignment="1">
      <alignment horizontal="left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3" zoomScale="60" zoomScaleNormal="100" workbookViewId="0">
      <selection activeCell="B21" sqref="B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707" t="s">
        <v>125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52027215</v>
      </c>
      <c r="C24" s="18">
        <v>110841.4</v>
      </c>
      <c r="D24" s="19">
        <v>1.02</v>
      </c>
      <c r="E24" s="20">
        <v>25.68</v>
      </c>
    </row>
    <row r="25" spans="1:6" ht="16.5" customHeight="1" x14ac:dyDescent="0.3">
      <c r="A25" s="17">
        <v>2</v>
      </c>
      <c r="B25" s="18">
        <v>51972041</v>
      </c>
      <c r="C25" s="18">
        <v>110629.2</v>
      </c>
      <c r="D25" s="19">
        <v>1.03</v>
      </c>
      <c r="E25" s="19">
        <v>25.67</v>
      </c>
    </row>
    <row r="26" spans="1:6" ht="16.5" customHeight="1" x14ac:dyDescent="0.3">
      <c r="A26" s="17">
        <v>3</v>
      </c>
      <c r="B26" s="18">
        <v>52146315</v>
      </c>
      <c r="C26" s="18">
        <v>110104.6</v>
      </c>
      <c r="D26" s="19">
        <v>1.03</v>
      </c>
      <c r="E26" s="19">
        <v>25.65</v>
      </c>
    </row>
    <row r="27" spans="1:6" ht="16.5" customHeight="1" x14ac:dyDescent="0.3">
      <c r="A27" s="17">
        <v>4</v>
      </c>
      <c r="B27" s="18">
        <v>52088127</v>
      </c>
      <c r="C27" s="18">
        <v>111126.3</v>
      </c>
      <c r="D27" s="19">
        <v>1.04</v>
      </c>
      <c r="E27" s="19">
        <v>25.62</v>
      </c>
    </row>
    <row r="28" spans="1:6" ht="16.5" customHeight="1" x14ac:dyDescent="0.3">
      <c r="A28" s="17">
        <v>5</v>
      </c>
      <c r="B28" s="18">
        <v>51973157</v>
      </c>
      <c r="C28" s="18">
        <v>111296.8</v>
      </c>
      <c r="D28" s="19">
        <v>1.03</v>
      </c>
      <c r="E28" s="19">
        <v>25.61</v>
      </c>
    </row>
    <row r="29" spans="1:6" ht="16.5" customHeight="1" x14ac:dyDescent="0.3">
      <c r="A29" s="17">
        <v>6</v>
      </c>
      <c r="B29" s="21">
        <v>51935048</v>
      </c>
      <c r="C29" s="21">
        <v>111567.6</v>
      </c>
      <c r="D29" s="22">
        <v>1.04</v>
      </c>
      <c r="E29" s="22">
        <v>25.6</v>
      </c>
    </row>
    <row r="30" spans="1:6" ht="16.5" customHeight="1" x14ac:dyDescent="0.3">
      <c r="A30" s="23" t="s">
        <v>18</v>
      </c>
      <c r="B30" s="24">
        <f>AVERAGE(B24:B29)</f>
        <v>52023650.5</v>
      </c>
      <c r="C30" s="25">
        <f>AVERAGE(C24:C29)</f>
        <v>110927.64999999998</v>
      </c>
      <c r="D30" s="26">
        <f>AVERAGE(D24:D29)</f>
        <v>1.0316666666666667</v>
      </c>
      <c r="E30" s="26">
        <f>AVERAGE(E24:E29)</f>
        <v>25.638333333333335</v>
      </c>
    </row>
    <row r="31" spans="1:6" ht="16.5" customHeight="1" x14ac:dyDescent="0.3">
      <c r="A31" s="27" t="s">
        <v>19</v>
      </c>
      <c r="B31" s="28">
        <f>(STDEV(B24:B29)/B30)</f>
        <v>1.5444761824491889E-3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125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99.3</v>
      </c>
      <c r="C40" s="10"/>
      <c r="D40" s="10"/>
      <c r="E40" s="10"/>
    </row>
    <row r="41" spans="1:6" ht="16.5" customHeight="1" x14ac:dyDescent="0.3">
      <c r="A41" s="7" t="s">
        <v>8</v>
      </c>
      <c r="B41" s="12">
        <v>29.43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</f>
        <v>0.58860000000000001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217702722</v>
      </c>
      <c r="C45" s="18">
        <v>101534.2</v>
      </c>
      <c r="D45" s="19">
        <v>1.04</v>
      </c>
      <c r="E45" s="20">
        <v>25.58</v>
      </c>
    </row>
    <row r="46" spans="1:6" ht="16.5" customHeight="1" x14ac:dyDescent="0.3">
      <c r="A46" s="17">
        <v>2</v>
      </c>
      <c r="B46" s="18">
        <v>218440997</v>
      </c>
      <c r="C46" s="18">
        <v>100873.7</v>
      </c>
      <c r="D46" s="19">
        <v>1.03</v>
      </c>
      <c r="E46" s="19">
        <v>25.59</v>
      </c>
    </row>
    <row r="47" spans="1:6" ht="16.5" customHeight="1" x14ac:dyDescent="0.3">
      <c r="A47" s="17">
        <v>3</v>
      </c>
      <c r="B47" s="18">
        <v>219418637</v>
      </c>
      <c r="C47" s="18">
        <v>101190.1</v>
      </c>
      <c r="D47" s="19">
        <v>1.03</v>
      </c>
      <c r="E47" s="19">
        <v>25.58</v>
      </c>
    </row>
    <row r="48" spans="1:6" ht="16.5" customHeight="1" x14ac:dyDescent="0.3">
      <c r="A48" s="17">
        <v>4</v>
      </c>
      <c r="B48" s="18">
        <v>219976718</v>
      </c>
      <c r="C48" s="18">
        <v>101354.3</v>
      </c>
      <c r="D48" s="19">
        <v>1.05</v>
      </c>
      <c r="E48" s="19">
        <v>25.59</v>
      </c>
    </row>
    <row r="49" spans="1:7" ht="16.5" customHeight="1" x14ac:dyDescent="0.3">
      <c r="A49" s="17">
        <v>5</v>
      </c>
      <c r="B49" s="18">
        <v>220464904</v>
      </c>
      <c r="C49" s="18">
        <v>102242.5</v>
      </c>
      <c r="D49" s="19">
        <v>1.03</v>
      </c>
      <c r="E49" s="19">
        <v>25.59</v>
      </c>
    </row>
    <row r="50" spans="1:7" ht="16.5" customHeight="1" x14ac:dyDescent="0.3">
      <c r="A50" s="17">
        <v>6</v>
      </c>
      <c r="B50" s="21">
        <v>221397553</v>
      </c>
      <c r="C50" s="21">
        <v>101395.6</v>
      </c>
      <c r="D50" s="22">
        <v>1.05</v>
      </c>
      <c r="E50" s="22">
        <v>25.57</v>
      </c>
    </row>
    <row r="51" spans="1:7" ht="16.5" customHeight="1" x14ac:dyDescent="0.3">
      <c r="A51" s="23" t="s">
        <v>18</v>
      </c>
      <c r="B51" s="24">
        <f>AVERAGE(B45:B50)</f>
        <v>219566921.83333334</v>
      </c>
      <c r="C51" s="25">
        <f>AVERAGE(C45:C50)</f>
        <v>101431.73333333334</v>
      </c>
      <c r="D51" s="26">
        <f>AVERAGE(D45:D50)</f>
        <v>1.0383333333333333</v>
      </c>
      <c r="E51" s="26">
        <f>AVERAGE(E45:E50)</f>
        <v>25.583333333333332</v>
      </c>
    </row>
    <row r="52" spans="1:7" ht="16.5" customHeight="1" x14ac:dyDescent="0.3">
      <c r="A52" s="27" t="s">
        <v>19</v>
      </c>
      <c r="B52" s="28">
        <f>(STDEV(B45:B50)/B51)</f>
        <v>6.1410242300148138E-3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59" t="s">
        <v>26</v>
      </c>
      <c r="C59" s="65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 t="s">
        <v>132</v>
      </c>
      <c r="E60" s="48" t="s">
        <v>133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60" zoomScaleNormal="100" workbookViewId="0">
      <selection activeCell="A50" sqref="A50"/>
    </sheetView>
  </sheetViews>
  <sheetFormatPr defaultRowHeight="13.5" x14ac:dyDescent="0.25"/>
  <cols>
    <col min="1" max="1" width="27.5703125" style="651" customWidth="1"/>
    <col min="2" max="2" width="20.42578125" style="651" customWidth="1"/>
    <col min="3" max="3" width="31.85546875" style="651" customWidth="1"/>
    <col min="4" max="4" width="25.85546875" style="651" customWidth="1"/>
    <col min="5" max="5" width="25.7109375" style="651" customWidth="1"/>
    <col min="6" max="6" width="23.140625" style="651" customWidth="1"/>
    <col min="7" max="7" width="28.42578125" style="651" customWidth="1"/>
    <col min="8" max="8" width="21.5703125" style="651" customWidth="1"/>
    <col min="9" max="9" width="9.140625" style="65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/>
      <c r="D17" s="9"/>
      <c r="E17" s="72"/>
    </row>
    <row r="18" spans="1:5" ht="16.5" customHeight="1" x14ac:dyDescent="0.3">
      <c r="A18" s="75" t="s">
        <v>4</v>
      </c>
      <c r="B18" s="8" t="s">
        <v>5</v>
      </c>
      <c r="C18" s="72"/>
      <c r="D18" s="72"/>
      <c r="E18" s="72"/>
    </row>
    <row r="19" spans="1:5" ht="16.5" customHeight="1" x14ac:dyDescent="0.3">
      <c r="A19" s="75" t="s">
        <v>6</v>
      </c>
      <c r="B19" s="12" t="s">
        <v>7</v>
      </c>
      <c r="C19" s="72"/>
      <c r="D19" s="72"/>
      <c r="E19" s="72"/>
    </row>
    <row r="20" spans="1:5" ht="16.5" customHeight="1" x14ac:dyDescent="0.3">
      <c r="A20" s="8" t="s">
        <v>8</v>
      </c>
      <c r="B20" s="707" t="s">
        <v>128</v>
      </c>
      <c r="C20" s="72"/>
      <c r="D20" s="72"/>
      <c r="E20" s="72"/>
    </row>
    <row r="21" spans="1:5" ht="16.5" customHeight="1" x14ac:dyDescent="0.3">
      <c r="A21" s="8" t="s">
        <v>10</v>
      </c>
      <c r="B21" s="13" t="s">
        <v>11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20881652</v>
      </c>
      <c r="C24" s="18">
        <v>1951.7</v>
      </c>
      <c r="D24" s="19">
        <v>0.89</v>
      </c>
      <c r="E24" s="20">
        <v>7.35</v>
      </c>
    </row>
    <row r="25" spans="1:5" ht="16.5" customHeight="1" x14ac:dyDescent="0.3">
      <c r="A25" s="17">
        <v>2</v>
      </c>
      <c r="B25" s="18">
        <v>20946415</v>
      </c>
      <c r="C25" s="18">
        <v>1983.6</v>
      </c>
      <c r="D25" s="19">
        <v>0.9</v>
      </c>
      <c r="E25" s="19">
        <v>7.34</v>
      </c>
    </row>
    <row r="26" spans="1:5" ht="16.5" customHeight="1" x14ac:dyDescent="0.3">
      <c r="A26" s="17">
        <v>3</v>
      </c>
      <c r="B26" s="18">
        <v>21025121</v>
      </c>
      <c r="C26" s="18">
        <v>1948.7</v>
      </c>
      <c r="D26" s="19">
        <v>0.9</v>
      </c>
      <c r="E26" s="19">
        <v>7.33</v>
      </c>
    </row>
    <row r="27" spans="1:5" ht="16.5" customHeight="1" x14ac:dyDescent="0.3">
      <c r="A27" s="17">
        <v>4</v>
      </c>
      <c r="B27" s="18">
        <v>20938744</v>
      </c>
      <c r="C27" s="653">
        <v>1985</v>
      </c>
      <c r="D27" s="19">
        <v>0.89</v>
      </c>
      <c r="E27" s="19">
        <v>7.33</v>
      </c>
    </row>
    <row r="28" spans="1:5" ht="16.5" customHeight="1" x14ac:dyDescent="0.3">
      <c r="A28" s="17">
        <v>5</v>
      </c>
      <c r="B28" s="18">
        <v>20896495</v>
      </c>
      <c r="C28" s="18">
        <v>1934.1</v>
      </c>
      <c r="D28" s="19">
        <v>0.9</v>
      </c>
      <c r="E28" s="19">
        <v>7.33</v>
      </c>
    </row>
    <row r="29" spans="1:5" ht="16.5" customHeight="1" x14ac:dyDescent="0.3">
      <c r="A29" s="17">
        <v>6</v>
      </c>
      <c r="B29" s="21">
        <v>20833736</v>
      </c>
      <c r="C29" s="21">
        <v>1927.4</v>
      </c>
      <c r="D29" s="22">
        <v>0.9</v>
      </c>
      <c r="E29" s="22">
        <v>7.34</v>
      </c>
    </row>
    <row r="30" spans="1:5" ht="16.5" customHeight="1" x14ac:dyDescent="0.3">
      <c r="A30" s="23" t="s">
        <v>18</v>
      </c>
      <c r="B30" s="24">
        <f>AVERAGE(B24:B29)</f>
        <v>20920360.5</v>
      </c>
      <c r="C30" s="25">
        <f>AVERAGE(C24:C29)</f>
        <v>1955.0833333333333</v>
      </c>
      <c r="D30" s="26">
        <f>AVERAGE(D24:D29)</f>
        <v>0.89666666666666683</v>
      </c>
      <c r="E30" s="26">
        <f>AVERAGE(E24:E29)</f>
        <v>7.336666666666666</v>
      </c>
    </row>
    <row r="31" spans="1:5" ht="16.5" customHeight="1" x14ac:dyDescent="0.3">
      <c r="A31" s="27" t="s">
        <v>19</v>
      </c>
      <c r="B31" s="28">
        <f>(STDEV(B24:B29)/B30)</f>
        <v>3.139085238333394E-3</v>
      </c>
      <c r="C31" s="29"/>
      <c r="D31" s="29"/>
      <c r="E31" s="30"/>
    </row>
    <row r="32" spans="1:5" s="651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651" customFormat="1" ht="15.75" customHeight="1" x14ac:dyDescent="0.25">
      <c r="A33" s="72"/>
      <c r="B33" s="72"/>
      <c r="C33" s="72"/>
      <c r="D33" s="72"/>
      <c r="E33" s="72"/>
    </row>
    <row r="34" spans="1:5" s="651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127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128</v>
      </c>
      <c r="C39" s="72"/>
      <c r="D39" s="72"/>
      <c r="E39" s="72"/>
    </row>
    <row r="40" spans="1:5" ht="16.5" customHeight="1" x14ac:dyDescent="0.3">
      <c r="A40" s="75" t="s">
        <v>6</v>
      </c>
      <c r="B40" s="12">
        <v>101.74</v>
      </c>
      <c r="C40" s="72"/>
      <c r="D40" s="72"/>
      <c r="E40" s="72"/>
    </row>
    <row r="41" spans="1:5" ht="16.5" customHeight="1" x14ac:dyDescent="0.3">
      <c r="A41" s="8" t="s">
        <v>8</v>
      </c>
      <c r="B41" s="12">
        <v>17.54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B41/50</f>
        <v>0.3508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122286585</v>
      </c>
      <c r="C45" s="18">
        <v>12026.6</v>
      </c>
      <c r="D45" s="19">
        <v>1.04</v>
      </c>
      <c r="E45" s="20">
        <v>7.36</v>
      </c>
    </row>
    <row r="46" spans="1:5" ht="16.5" customHeight="1" x14ac:dyDescent="0.3">
      <c r="A46" s="17">
        <v>2</v>
      </c>
      <c r="B46" s="18">
        <v>122275195</v>
      </c>
      <c r="C46" s="653">
        <v>12044</v>
      </c>
      <c r="D46" s="19">
        <v>1.02</v>
      </c>
      <c r="E46" s="19">
        <v>7.38</v>
      </c>
    </row>
    <row r="47" spans="1:5" ht="16.5" customHeight="1" x14ac:dyDescent="0.3">
      <c r="A47" s="17">
        <v>3</v>
      </c>
      <c r="B47" s="18">
        <v>122924795</v>
      </c>
      <c r="C47" s="18">
        <v>11765.6</v>
      </c>
      <c r="D47" s="19">
        <v>1.03</v>
      </c>
      <c r="E47" s="19">
        <v>7.36</v>
      </c>
    </row>
    <row r="48" spans="1:5" ht="16.5" customHeight="1" x14ac:dyDescent="0.3">
      <c r="A48" s="17">
        <v>4</v>
      </c>
      <c r="B48" s="18">
        <v>123453836</v>
      </c>
      <c r="C48" s="18">
        <v>11741.2</v>
      </c>
      <c r="D48" s="19">
        <v>1.02</v>
      </c>
      <c r="E48" s="19">
        <v>7.37</v>
      </c>
    </row>
    <row r="49" spans="1:7" ht="16.5" customHeight="1" x14ac:dyDescent="0.3">
      <c r="A49" s="17">
        <v>5</v>
      </c>
      <c r="B49" s="18">
        <v>123152434</v>
      </c>
      <c r="C49" s="18">
        <v>12166.1</v>
      </c>
      <c r="D49" s="19">
        <v>1.02</v>
      </c>
      <c r="E49" s="19">
        <v>7.39</v>
      </c>
    </row>
    <row r="50" spans="1:7" ht="16.5" customHeight="1" x14ac:dyDescent="0.3">
      <c r="A50" s="17">
        <v>6</v>
      </c>
      <c r="B50" s="21">
        <v>123439191</v>
      </c>
      <c r="C50" s="21">
        <v>11952.6</v>
      </c>
      <c r="D50" s="22">
        <v>1.02</v>
      </c>
      <c r="E50" s="22">
        <v>7.37</v>
      </c>
    </row>
    <row r="51" spans="1:7" ht="16.5" customHeight="1" x14ac:dyDescent="0.3">
      <c r="A51" s="23" t="s">
        <v>18</v>
      </c>
      <c r="B51" s="24">
        <f>AVERAGE(B45:B50)</f>
        <v>122922006</v>
      </c>
      <c r="C51" s="25">
        <f>AVERAGE(C45:C50)</f>
        <v>11949.349999999999</v>
      </c>
      <c r="D51" s="26">
        <f>AVERAGE(D45:D50)</f>
        <v>1.0249999999999997</v>
      </c>
      <c r="E51" s="26">
        <f>AVERAGE(E45:E50)</f>
        <v>7.3716666666666661</v>
      </c>
    </row>
    <row r="52" spans="1:7" ht="16.5" customHeight="1" x14ac:dyDescent="0.3">
      <c r="A52" s="27" t="s">
        <v>19</v>
      </c>
      <c r="B52" s="28">
        <f>(STDEV(B45:B50)/B51)</f>
        <v>4.3438716740945129E-3</v>
      </c>
      <c r="C52" s="29"/>
      <c r="D52" s="29"/>
      <c r="E52" s="30"/>
    </row>
    <row r="53" spans="1:7" s="651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651" customFormat="1" ht="15.75" customHeight="1" x14ac:dyDescent="0.25">
      <c r="A54" s="72"/>
      <c r="B54" s="72"/>
      <c r="C54" s="72"/>
      <c r="D54" s="72"/>
      <c r="E54" s="72"/>
    </row>
    <row r="55" spans="1:7" s="651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647"/>
      <c r="D58" s="43"/>
      <c r="F58" s="44"/>
      <c r="G58" s="44"/>
    </row>
    <row r="59" spans="1:7" ht="15" customHeight="1" x14ac:dyDescent="0.3">
      <c r="B59" s="659" t="s">
        <v>26</v>
      </c>
      <c r="C59" s="65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 t="s">
        <v>132</v>
      </c>
      <c r="E60" s="49" t="s">
        <v>133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60" zoomScaleNormal="100" workbookViewId="0">
      <selection activeCell="B20" sqref="B20"/>
    </sheetView>
  </sheetViews>
  <sheetFormatPr defaultRowHeight="13.5" x14ac:dyDescent="0.25"/>
  <cols>
    <col min="1" max="1" width="27.5703125" style="651" customWidth="1"/>
    <col min="2" max="2" width="20.42578125" style="651" customWidth="1"/>
    <col min="3" max="3" width="31.85546875" style="651" customWidth="1"/>
    <col min="4" max="4" width="25.85546875" style="651" customWidth="1"/>
    <col min="5" max="5" width="25.7109375" style="651" customWidth="1"/>
    <col min="6" max="6" width="23.140625" style="651" customWidth="1"/>
    <col min="7" max="7" width="28.42578125" style="651" customWidth="1"/>
    <col min="8" max="8" width="21.5703125" style="651" customWidth="1"/>
    <col min="9" max="9" width="9.140625" style="65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/>
      <c r="D17" s="9"/>
      <c r="E17" s="72"/>
    </row>
    <row r="18" spans="1:5" ht="16.5" customHeight="1" x14ac:dyDescent="0.3">
      <c r="A18" s="75" t="s">
        <v>4</v>
      </c>
      <c r="B18" s="8" t="s">
        <v>5</v>
      </c>
      <c r="C18" s="72"/>
      <c r="D18" s="72"/>
      <c r="E18" s="72"/>
    </row>
    <row r="19" spans="1:5" ht="16.5" customHeight="1" x14ac:dyDescent="0.3">
      <c r="A19" s="75" t="s">
        <v>6</v>
      </c>
      <c r="B19" s="12" t="s">
        <v>7</v>
      </c>
      <c r="C19" s="72"/>
      <c r="D19" s="72"/>
      <c r="E19" s="72"/>
    </row>
    <row r="20" spans="1:5" ht="16.5" customHeight="1" x14ac:dyDescent="0.3">
      <c r="A20" s="8" t="s">
        <v>8</v>
      </c>
      <c r="B20" s="707" t="s">
        <v>137</v>
      </c>
      <c r="C20" s="72"/>
      <c r="D20" s="72"/>
      <c r="E20" s="72"/>
    </row>
    <row r="21" spans="1:5" ht="16.5" customHeight="1" x14ac:dyDescent="0.3">
      <c r="A21" s="8" t="s">
        <v>10</v>
      </c>
      <c r="B21" s="13" t="s">
        <v>11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17283978</v>
      </c>
      <c r="C24" s="18">
        <v>187053.6</v>
      </c>
      <c r="D24" s="19">
        <v>1.07</v>
      </c>
      <c r="E24" s="20">
        <v>16.84</v>
      </c>
    </row>
    <row r="25" spans="1:5" ht="16.5" customHeight="1" x14ac:dyDescent="0.3">
      <c r="A25" s="17">
        <v>2</v>
      </c>
      <c r="B25" s="18">
        <v>17288835</v>
      </c>
      <c r="C25" s="18">
        <v>186907.1</v>
      </c>
      <c r="D25" s="19">
        <v>1.07</v>
      </c>
      <c r="E25" s="19">
        <v>16.84</v>
      </c>
    </row>
    <row r="26" spans="1:5" ht="16.5" customHeight="1" x14ac:dyDescent="0.3">
      <c r="A26" s="17">
        <v>3</v>
      </c>
      <c r="B26" s="18">
        <v>17346773</v>
      </c>
      <c r="C26" s="18">
        <v>187560.1</v>
      </c>
      <c r="D26" s="19">
        <v>1.0900000000000001</v>
      </c>
      <c r="E26" s="19">
        <v>16.829999999999998</v>
      </c>
    </row>
    <row r="27" spans="1:5" ht="16.5" customHeight="1" x14ac:dyDescent="0.3">
      <c r="A27" s="17">
        <v>4</v>
      </c>
      <c r="B27" s="18">
        <v>17330829</v>
      </c>
      <c r="C27" s="18">
        <v>186694.2</v>
      </c>
      <c r="D27" s="19">
        <v>1.07</v>
      </c>
      <c r="E27" s="19">
        <v>16.829999999999998</v>
      </c>
    </row>
    <row r="28" spans="1:5" ht="16.5" customHeight="1" x14ac:dyDescent="0.3">
      <c r="A28" s="17">
        <v>5</v>
      </c>
      <c r="B28" s="18">
        <v>17311616</v>
      </c>
      <c r="C28" s="18">
        <v>185586.1</v>
      </c>
      <c r="D28" s="19">
        <v>1.1200000000000001</v>
      </c>
      <c r="E28" s="19">
        <v>16.82</v>
      </c>
    </row>
    <row r="29" spans="1:5" ht="16.5" customHeight="1" x14ac:dyDescent="0.3">
      <c r="A29" s="17">
        <v>6</v>
      </c>
      <c r="B29" s="21">
        <v>17273601</v>
      </c>
      <c r="C29" s="21">
        <v>186710.39999999999</v>
      </c>
      <c r="D29" s="22">
        <v>1.07</v>
      </c>
      <c r="E29" s="22">
        <v>16.82</v>
      </c>
    </row>
    <row r="30" spans="1:5" ht="16.5" customHeight="1" x14ac:dyDescent="0.3">
      <c r="A30" s="23" t="s">
        <v>18</v>
      </c>
      <c r="B30" s="24">
        <f>AVERAGE(B24:B29)</f>
        <v>17305938.666666668</v>
      </c>
      <c r="C30" s="25">
        <f>AVERAGE(C24:C29)</f>
        <v>186751.91666666666</v>
      </c>
      <c r="D30" s="26">
        <f>AVERAGE(D24:D29)</f>
        <v>1.0816666666666668</v>
      </c>
      <c r="E30" s="26">
        <f>AVERAGE(E24:E29)</f>
        <v>16.829999999999998</v>
      </c>
    </row>
    <row r="31" spans="1:5" ht="16.5" customHeight="1" x14ac:dyDescent="0.3">
      <c r="A31" s="27" t="s">
        <v>19</v>
      </c>
      <c r="B31" s="28">
        <f>(STDEV(B24:B29)/B30)</f>
        <v>1.6626700943578041E-3</v>
      </c>
      <c r="C31" s="29"/>
      <c r="D31" s="29"/>
      <c r="E31" s="30"/>
    </row>
    <row r="32" spans="1:5" s="651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651" customFormat="1" ht="15.75" customHeight="1" x14ac:dyDescent="0.25">
      <c r="A33" s="72"/>
      <c r="B33" s="72"/>
      <c r="C33" s="72"/>
      <c r="D33" s="72"/>
      <c r="E33" s="72"/>
    </row>
    <row r="34" spans="1:5" s="651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134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99.3</v>
      </c>
      <c r="C40" s="72"/>
      <c r="D40" s="72"/>
      <c r="E40" s="72"/>
    </row>
    <row r="41" spans="1:5" ht="16.5" customHeight="1" x14ac:dyDescent="0.3">
      <c r="A41" s="8" t="s">
        <v>8</v>
      </c>
      <c r="B41" s="12">
        <v>14.43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B41/50</f>
        <v>0.28859999999999997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67977499</v>
      </c>
      <c r="C45" s="18">
        <v>185143.6</v>
      </c>
      <c r="D45" s="19">
        <v>1.06</v>
      </c>
      <c r="E45" s="20">
        <v>16.82</v>
      </c>
    </row>
    <row r="46" spans="1:5" ht="16.5" customHeight="1" x14ac:dyDescent="0.3">
      <c r="A46" s="17">
        <v>2</v>
      </c>
      <c r="B46" s="18">
        <v>68125316</v>
      </c>
      <c r="C46" s="18">
        <v>183294.7</v>
      </c>
      <c r="D46" s="19">
        <v>1.1000000000000001</v>
      </c>
      <c r="E46" s="19">
        <v>16.809999999999999</v>
      </c>
    </row>
    <row r="47" spans="1:5" ht="16.5" customHeight="1" x14ac:dyDescent="0.3">
      <c r="A47" s="17">
        <v>3</v>
      </c>
      <c r="B47" s="18">
        <v>68415373</v>
      </c>
      <c r="C47" s="18">
        <v>184311.7</v>
      </c>
      <c r="D47" s="19">
        <v>1.06</v>
      </c>
      <c r="E47" s="19">
        <v>16.809999999999999</v>
      </c>
    </row>
    <row r="48" spans="1:5" ht="16.5" customHeight="1" x14ac:dyDescent="0.3">
      <c r="A48" s="17">
        <v>4</v>
      </c>
      <c r="B48" s="18">
        <v>68446807</v>
      </c>
      <c r="C48" s="18">
        <v>184816.9</v>
      </c>
      <c r="D48" s="19">
        <v>1.0900000000000001</v>
      </c>
      <c r="E48" s="19">
        <v>16.809999999999999</v>
      </c>
    </row>
    <row r="49" spans="1:7" ht="16.5" customHeight="1" x14ac:dyDescent="0.3">
      <c r="A49" s="17">
        <v>5</v>
      </c>
      <c r="B49" s="18">
        <v>68536293</v>
      </c>
      <c r="C49" s="653">
        <v>185862</v>
      </c>
      <c r="D49" s="19">
        <v>1.08</v>
      </c>
      <c r="E49" s="19">
        <v>16.82</v>
      </c>
    </row>
    <row r="50" spans="1:7" ht="16.5" customHeight="1" x14ac:dyDescent="0.3">
      <c r="A50" s="17">
        <v>6</v>
      </c>
      <c r="B50" s="21">
        <v>68771923</v>
      </c>
      <c r="C50" s="21">
        <v>183931.6</v>
      </c>
      <c r="D50" s="22">
        <v>1.1000000000000001</v>
      </c>
      <c r="E50" s="22">
        <v>16.82</v>
      </c>
    </row>
    <row r="51" spans="1:7" ht="16.5" customHeight="1" x14ac:dyDescent="0.3">
      <c r="A51" s="23" t="s">
        <v>18</v>
      </c>
      <c r="B51" s="24">
        <f>AVERAGE(B45:B50)</f>
        <v>68378868.5</v>
      </c>
      <c r="C51" s="25">
        <f>AVERAGE(C45:C50)</f>
        <v>184560.08333333334</v>
      </c>
      <c r="D51" s="26">
        <f>AVERAGE(D45:D50)</f>
        <v>1.0816666666666668</v>
      </c>
      <c r="E51" s="26">
        <f>AVERAGE(E45:E50)</f>
        <v>16.814999999999998</v>
      </c>
    </row>
    <row r="52" spans="1:7" ht="16.5" customHeight="1" x14ac:dyDescent="0.3">
      <c r="A52" s="27" t="s">
        <v>19</v>
      </c>
      <c r="B52" s="28">
        <f>(STDEV(B45:B50)/B51)</f>
        <v>4.1908995838999454E-3</v>
      </c>
      <c r="C52" s="29"/>
      <c r="D52" s="29"/>
      <c r="E52" s="30"/>
    </row>
    <row r="53" spans="1:7" s="651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651" customFormat="1" ht="15.75" customHeight="1" x14ac:dyDescent="0.25">
      <c r="A54" s="72"/>
      <c r="B54" s="72"/>
      <c r="C54" s="72"/>
      <c r="D54" s="72"/>
      <c r="E54" s="72"/>
    </row>
    <row r="55" spans="1:7" s="651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647"/>
      <c r="D58" s="43"/>
      <c r="F58" s="44"/>
      <c r="G58" s="44"/>
    </row>
    <row r="59" spans="1:7" ht="15" customHeight="1" x14ac:dyDescent="0.3">
      <c r="B59" s="659" t="s">
        <v>26</v>
      </c>
      <c r="C59" s="65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 t="s">
        <v>132</v>
      </c>
      <c r="E60" s="49" t="s">
        <v>133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3" t="s">
        <v>31</v>
      </c>
      <c r="B11" s="664"/>
      <c r="C11" s="664"/>
      <c r="D11" s="664"/>
      <c r="E11" s="664"/>
      <c r="F11" s="665"/>
      <c r="G11" s="91"/>
    </row>
    <row r="12" spans="1:7" ht="16.5" customHeight="1" x14ac:dyDescent="0.3">
      <c r="A12" s="662" t="s">
        <v>32</v>
      </c>
      <c r="B12" s="662"/>
      <c r="C12" s="662"/>
      <c r="D12" s="662"/>
      <c r="E12" s="662"/>
      <c r="F12" s="662"/>
      <c r="G12" s="90"/>
    </row>
    <row r="14" spans="1:7" ht="16.5" customHeight="1" x14ac:dyDescent="0.3">
      <c r="A14" s="667" t="s">
        <v>33</v>
      </c>
      <c r="B14" s="667"/>
      <c r="C14" s="60" t="s">
        <v>5</v>
      </c>
    </row>
    <row r="15" spans="1:7" ht="16.5" customHeight="1" x14ac:dyDescent="0.3">
      <c r="A15" s="667" t="s">
        <v>34</v>
      </c>
      <c r="B15" s="667"/>
      <c r="C15" s="60" t="s">
        <v>7</v>
      </c>
    </row>
    <row r="16" spans="1:7" ht="16.5" customHeight="1" x14ac:dyDescent="0.3">
      <c r="A16" s="667" t="s">
        <v>35</v>
      </c>
      <c r="B16" s="667"/>
      <c r="C16" s="60" t="s">
        <v>9</v>
      </c>
    </row>
    <row r="17" spans="1:5" ht="16.5" customHeight="1" x14ac:dyDescent="0.3">
      <c r="A17" s="667" t="s">
        <v>36</v>
      </c>
      <c r="B17" s="667"/>
      <c r="C17" s="60" t="s">
        <v>11</v>
      </c>
    </row>
    <row r="18" spans="1:5" ht="16.5" customHeight="1" x14ac:dyDescent="0.3">
      <c r="A18" s="667" t="s">
        <v>37</v>
      </c>
      <c r="B18" s="667"/>
      <c r="C18" s="97" t="s">
        <v>12</v>
      </c>
    </row>
    <row r="19" spans="1:5" ht="16.5" customHeight="1" x14ac:dyDescent="0.3">
      <c r="A19" s="667" t="s">
        <v>38</v>
      </c>
      <c r="B19" s="667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62" t="s">
        <v>1</v>
      </c>
      <c r="B21" s="662"/>
      <c r="C21" s="59" t="s">
        <v>39</v>
      </c>
      <c r="D21" s="66"/>
    </row>
    <row r="22" spans="1:5" ht="15.75" customHeight="1" x14ac:dyDescent="0.3">
      <c r="A22" s="666"/>
      <c r="B22" s="666"/>
      <c r="C22" s="57"/>
      <c r="D22" s="666"/>
      <c r="E22" s="666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1747.01</v>
      </c>
      <c r="D24" s="87">
        <f t="shared" ref="D24:D43" si="0">(C24-$C$46)/$C$46</f>
        <v>3.5736668832351327E-3</v>
      </c>
      <c r="E24" s="53"/>
    </row>
    <row r="25" spans="1:5" ht="15.75" customHeight="1" x14ac:dyDescent="0.3">
      <c r="C25" s="95">
        <v>1731.17</v>
      </c>
      <c r="D25" s="88">
        <f t="shared" si="0"/>
        <v>-5.5256553206620186E-3</v>
      </c>
      <c r="E25" s="53"/>
    </row>
    <row r="26" spans="1:5" ht="15.75" customHeight="1" x14ac:dyDescent="0.3">
      <c r="C26" s="95">
        <v>1741.73</v>
      </c>
      <c r="D26" s="88">
        <f t="shared" si="0"/>
        <v>5.4055948193608243E-4</v>
      </c>
      <c r="E26" s="53"/>
    </row>
    <row r="27" spans="1:5" ht="15.75" customHeight="1" x14ac:dyDescent="0.3">
      <c r="C27" s="95">
        <v>1720.36</v>
      </c>
      <c r="D27" s="88">
        <f t="shared" si="0"/>
        <v>-1.1735483163094486E-2</v>
      </c>
      <c r="E27" s="53"/>
    </row>
    <row r="28" spans="1:5" ht="15.75" customHeight="1" x14ac:dyDescent="0.3">
      <c r="C28" s="95">
        <v>1710.81</v>
      </c>
      <c r="D28" s="88">
        <f t="shared" si="0"/>
        <v>-1.722150128476228E-2</v>
      </c>
      <c r="E28" s="53"/>
    </row>
    <row r="29" spans="1:5" ht="15.75" customHeight="1" x14ac:dyDescent="0.3">
      <c r="C29" s="95">
        <v>1702.69</v>
      </c>
      <c r="D29" s="88">
        <f t="shared" si="0"/>
        <v>-2.1886052818578205E-2</v>
      </c>
      <c r="E29" s="53"/>
    </row>
    <row r="30" spans="1:5" ht="15.75" customHeight="1" x14ac:dyDescent="0.3">
      <c r="C30" s="95">
        <v>1744.14</v>
      </c>
      <c r="D30" s="88">
        <f t="shared" si="0"/>
        <v>1.9249891859381653E-3</v>
      </c>
      <c r="E30" s="53"/>
    </row>
    <row r="31" spans="1:5" ht="15.75" customHeight="1" x14ac:dyDescent="0.3">
      <c r="C31" s="95">
        <v>1778.99</v>
      </c>
      <c r="D31" s="88">
        <f t="shared" si="0"/>
        <v>2.1944646938830623E-2</v>
      </c>
      <c r="E31" s="53"/>
    </row>
    <row r="32" spans="1:5" ht="15.75" customHeight="1" x14ac:dyDescent="0.3">
      <c r="C32" s="95">
        <v>1753.16</v>
      </c>
      <c r="D32" s="88">
        <f t="shared" si="0"/>
        <v>7.1065476631573931E-3</v>
      </c>
      <c r="E32" s="53"/>
    </row>
    <row r="33" spans="1:7" ht="15.75" customHeight="1" x14ac:dyDescent="0.3">
      <c r="C33" s="95">
        <v>1743.96</v>
      </c>
      <c r="D33" s="88">
        <f t="shared" si="0"/>
        <v>1.8215877972574787E-3</v>
      </c>
      <c r="E33" s="53"/>
    </row>
    <row r="34" spans="1:7" ht="15.75" customHeight="1" x14ac:dyDescent="0.3">
      <c r="C34" s="95">
        <v>1701.61</v>
      </c>
      <c r="D34" s="88">
        <f t="shared" si="0"/>
        <v>-2.2506461150662193E-2</v>
      </c>
      <c r="E34" s="53"/>
    </row>
    <row r="35" spans="1:7" ht="15.75" customHeight="1" x14ac:dyDescent="0.3">
      <c r="C35" s="95">
        <v>1761.98</v>
      </c>
      <c r="D35" s="88">
        <f t="shared" si="0"/>
        <v>1.2173215708509206E-2</v>
      </c>
      <c r="E35" s="53"/>
    </row>
    <row r="36" spans="1:7" ht="15.75" customHeight="1" x14ac:dyDescent="0.3">
      <c r="C36" s="95">
        <v>1757.53</v>
      </c>
      <c r="D36" s="88">
        <f t="shared" si="0"/>
        <v>9.6169035994597765E-3</v>
      </c>
      <c r="E36" s="53"/>
    </row>
    <row r="37" spans="1:7" ht="15.75" customHeight="1" x14ac:dyDescent="0.3">
      <c r="C37" s="95">
        <v>1746.93</v>
      </c>
      <c r="D37" s="88">
        <f t="shared" si="0"/>
        <v>3.5277107104882189E-3</v>
      </c>
      <c r="E37" s="53"/>
    </row>
    <row r="38" spans="1:7" ht="15.75" customHeight="1" x14ac:dyDescent="0.3">
      <c r="C38" s="95">
        <v>1766.78</v>
      </c>
      <c r="D38" s="88">
        <f t="shared" si="0"/>
        <v>1.4930586073326512E-2</v>
      </c>
      <c r="E38" s="53"/>
    </row>
    <row r="39" spans="1:7" ht="15.75" customHeight="1" x14ac:dyDescent="0.3">
      <c r="C39" s="95">
        <v>1740.43</v>
      </c>
      <c r="D39" s="88">
        <f t="shared" si="0"/>
        <v>-2.0622832520191914E-4</v>
      </c>
      <c r="E39" s="53"/>
    </row>
    <row r="40" spans="1:7" ht="15.75" customHeight="1" x14ac:dyDescent="0.3">
      <c r="C40" s="95">
        <v>1746.17</v>
      </c>
      <c r="D40" s="88">
        <f t="shared" si="0"/>
        <v>3.0911270693921465E-3</v>
      </c>
      <c r="E40" s="53"/>
    </row>
    <row r="41" spans="1:7" ht="15.75" customHeight="1" x14ac:dyDescent="0.3">
      <c r="C41" s="95">
        <v>1734.5</v>
      </c>
      <c r="D41" s="88">
        <f t="shared" si="0"/>
        <v>-3.6127296300700355E-3</v>
      </c>
      <c r="E41" s="53"/>
    </row>
    <row r="42" spans="1:7" ht="15.75" customHeight="1" x14ac:dyDescent="0.3">
      <c r="C42" s="95">
        <v>1735.35</v>
      </c>
      <c r="D42" s="88">
        <f t="shared" si="0"/>
        <v>-3.1244452946336851E-3</v>
      </c>
      <c r="E42" s="53"/>
    </row>
    <row r="43" spans="1:7" ht="16.5" customHeight="1" x14ac:dyDescent="0.3">
      <c r="C43" s="96">
        <v>1750.48</v>
      </c>
      <c r="D43" s="89">
        <f t="shared" si="0"/>
        <v>5.5670158761343454E-3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34815.78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1740.789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60">
        <f>C46</f>
        <v>1740.789</v>
      </c>
      <c r="C49" s="93">
        <f>-IF(C46&lt;=80,10%,IF(C46&lt;250,7.5%,5%))</f>
        <v>-0.05</v>
      </c>
      <c r="D49" s="81">
        <f>IF(C46&lt;=80,C46*0.9,IF(C46&lt;250,C46*0.925,C46*0.95))</f>
        <v>1653.74955</v>
      </c>
    </row>
    <row r="50" spans="1:6" ht="17.25" customHeight="1" x14ac:dyDescent="0.3">
      <c r="B50" s="661"/>
      <c r="C50" s="94">
        <f>IF(C46&lt;=80, 10%, IF(C46&lt;250, 7.5%, 5%))</f>
        <v>0.05</v>
      </c>
      <c r="D50" s="81">
        <f>IF(C46&lt;=80, C46*1.1, IF(C46&lt;250, C46*1.075, C46*1.05))</f>
        <v>1827.82845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55" zoomScale="55" zoomScaleNormal="40" zoomScaleSheetLayoutView="55" zoomScalePageLayoutView="55" workbookViewId="0">
      <selection activeCell="F67" sqref="F6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8" t="s">
        <v>45</v>
      </c>
      <c r="B1" s="668"/>
      <c r="C1" s="668"/>
      <c r="D1" s="668"/>
      <c r="E1" s="668"/>
      <c r="F1" s="668"/>
      <c r="G1" s="668"/>
      <c r="H1" s="668"/>
      <c r="I1" s="668"/>
    </row>
    <row r="2" spans="1:9" ht="18.75" customHeight="1" x14ac:dyDescent="0.25">
      <c r="A2" s="668"/>
      <c r="B2" s="668"/>
      <c r="C2" s="668"/>
      <c r="D2" s="668"/>
      <c r="E2" s="668"/>
      <c r="F2" s="668"/>
      <c r="G2" s="668"/>
      <c r="H2" s="668"/>
      <c r="I2" s="668"/>
    </row>
    <row r="3" spans="1:9" ht="18.75" customHeight="1" x14ac:dyDescent="0.25">
      <c r="A3" s="668"/>
      <c r="B3" s="668"/>
      <c r="C3" s="668"/>
      <c r="D3" s="668"/>
      <c r="E3" s="668"/>
      <c r="F3" s="668"/>
      <c r="G3" s="668"/>
      <c r="H3" s="668"/>
      <c r="I3" s="668"/>
    </row>
    <row r="4" spans="1:9" ht="18.75" customHeight="1" x14ac:dyDescent="0.25">
      <c r="A4" s="668"/>
      <c r="B4" s="668"/>
      <c r="C4" s="668"/>
      <c r="D4" s="668"/>
      <c r="E4" s="668"/>
      <c r="F4" s="668"/>
      <c r="G4" s="668"/>
      <c r="H4" s="668"/>
      <c r="I4" s="668"/>
    </row>
    <row r="5" spans="1:9" ht="18.75" customHeight="1" x14ac:dyDescent="0.25">
      <c r="A5" s="668"/>
      <c r="B5" s="668"/>
      <c r="C5" s="668"/>
      <c r="D5" s="668"/>
      <c r="E5" s="668"/>
      <c r="F5" s="668"/>
      <c r="G5" s="668"/>
      <c r="H5" s="668"/>
      <c r="I5" s="668"/>
    </row>
    <row r="6" spans="1:9" ht="18.75" customHeight="1" x14ac:dyDescent="0.25">
      <c r="A6" s="668"/>
      <c r="B6" s="668"/>
      <c r="C6" s="668"/>
      <c r="D6" s="668"/>
      <c r="E6" s="668"/>
      <c r="F6" s="668"/>
      <c r="G6" s="668"/>
      <c r="H6" s="668"/>
      <c r="I6" s="668"/>
    </row>
    <row r="7" spans="1:9" ht="18.75" customHeight="1" x14ac:dyDescent="0.25">
      <c r="A7" s="668"/>
      <c r="B7" s="668"/>
      <c r="C7" s="668"/>
      <c r="D7" s="668"/>
      <c r="E7" s="668"/>
      <c r="F7" s="668"/>
      <c r="G7" s="668"/>
      <c r="H7" s="668"/>
      <c r="I7" s="668"/>
    </row>
    <row r="8" spans="1:9" x14ac:dyDescent="0.25">
      <c r="A8" s="669" t="s">
        <v>46</v>
      </c>
      <c r="B8" s="669"/>
      <c r="C8" s="669"/>
      <c r="D8" s="669"/>
      <c r="E8" s="669"/>
      <c r="F8" s="669"/>
      <c r="G8" s="669"/>
      <c r="H8" s="669"/>
      <c r="I8" s="669"/>
    </row>
    <row r="9" spans="1:9" x14ac:dyDescent="0.25">
      <c r="A9" s="669"/>
      <c r="B9" s="669"/>
      <c r="C9" s="669"/>
      <c r="D9" s="669"/>
      <c r="E9" s="669"/>
      <c r="F9" s="669"/>
      <c r="G9" s="669"/>
      <c r="H9" s="669"/>
      <c r="I9" s="669"/>
    </row>
    <row r="10" spans="1:9" x14ac:dyDescent="0.25">
      <c r="A10" s="669"/>
      <c r="B10" s="669"/>
      <c r="C10" s="669"/>
      <c r="D10" s="669"/>
      <c r="E10" s="669"/>
      <c r="F10" s="669"/>
      <c r="G10" s="669"/>
      <c r="H10" s="669"/>
      <c r="I10" s="669"/>
    </row>
    <row r="11" spans="1:9" x14ac:dyDescent="0.25">
      <c r="A11" s="669"/>
      <c r="B11" s="669"/>
      <c r="C11" s="669"/>
      <c r="D11" s="669"/>
      <c r="E11" s="669"/>
      <c r="F11" s="669"/>
      <c r="G11" s="669"/>
      <c r="H11" s="669"/>
      <c r="I11" s="669"/>
    </row>
    <row r="12" spans="1:9" x14ac:dyDescent="0.25">
      <c r="A12" s="669"/>
      <c r="B12" s="669"/>
      <c r="C12" s="669"/>
      <c r="D12" s="669"/>
      <c r="E12" s="669"/>
      <c r="F12" s="669"/>
      <c r="G12" s="669"/>
      <c r="H12" s="669"/>
      <c r="I12" s="669"/>
    </row>
    <row r="13" spans="1:9" x14ac:dyDescent="0.25">
      <c r="A13" s="669"/>
      <c r="B13" s="669"/>
      <c r="C13" s="669"/>
      <c r="D13" s="669"/>
      <c r="E13" s="669"/>
      <c r="F13" s="669"/>
      <c r="G13" s="669"/>
      <c r="H13" s="669"/>
      <c r="I13" s="669"/>
    </row>
    <row r="14" spans="1:9" x14ac:dyDescent="0.25">
      <c r="A14" s="669"/>
      <c r="B14" s="669"/>
      <c r="C14" s="669"/>
      <c r="D14" s="669"/>
      <c r="E14" s="669"/>
      <c r="F14" s="669"/>
      <c r="G14" s="669"/>
      <c r="H14" s="669"/>
      <c r="I14" s="669"/>
    </row>
    <row r="15" spans="1:9" ht="19.5" customHeight="1" x14ac:dyDescent="0.3">
      <c r="A15" s="98"/>
    </row>
    <row r="16" spans="1:9" ht="19.5" customHeight="1" x14ac:dyDescent="0.3">
      <c r="A16" s="702" t="s">
        <v>31</v>
      </c>
      <c r="B16" s="703"/>
      <c r="C16" s="703"/>
      <c r="D16" s="703"/>
      <c r="E16" s="703"/>
      <c r="F16" s="703"/>
      <c r="G16" s="703"/>
      <c r="H16" s="704"/>
    </row>
    <row r="17" spans="1:14" ht="20.25" customHeight="1" x14ac:dyDescent="0.25">
      <c r="A17" s="705" t="s">
        <v>47</v>
      </c>
      <c r="B17" s="705"/>
      <c r="C17" s="705"/>
      <c r="D17" s="705"/>
      <c r="E17" s="705"/>
      <c r="F17" s="705"/>
      <c r="G17" s="705"/>
      <c r="H17" s="705"/>
    </row>
    <row r="18" spans="1:14" ht="26.25" customHeight="1" x14ac:dyDescent="0.4">
      <c r="A18" s="100" t="s">
        <v>33</v>
      </c>
      <c r="B18" s="701" t="s">
        <v>5</v>
      </c>
      <c r="C18" s="701"/>
      <c r="D18" s="264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7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706" t="s">
        <v>9</v>
      </c>
      <c r="C20" s="706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706" t="s">
        <v>11</v>
      </c>
      <c r="C21" s="706"/>
      <c r="D21" s="706"/>
      <c r="E21" s="706"/>
      <c r="F21" s="706"/>
      <c r="G21" s="706"/>
      <c r="H21" s="706"/>
      <c r="I21" s="104"/>
    </row>
    <row r="22" spans="1:14" ht="26.25" customHeight="1" x14ac:dyDescent="0.4">
      <c r="A22" s="100" t="s">
        <v>37</v>
      </c>
      <c r="B22" s="105">
        <v>42293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42305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701" t="s">
        <v>125</v>
      </c>
      <c r="C26" s="701"/>
    </row>
    <row r="27" spans="1:14" ht="26.25" customHeight="1" x14ac:dyDescent="0.4">
      <c r="A27" s="109" t="s">
        <v>48</v>
      </c>
      <c r="B27" s="699" t="s">
        <v>126</v>
      </c>
      <c r="C27" s="699"/>
    </row>
    <row r="28" spans="1:14" ht="27" customHeight="1" x14ac:dyDescent="0.4">
      <c r="A28" s="109" t="s">
        <v>6</v>
      </c>
      <c r="B28" s="650">
        <v>99.3</v>
      </c>
      <c r="C28" s="651"/>
    </row>
    <row r="29" spans="1:14" s="14" customFormat="1" ht="27" customHeight="1" x14ac:dyDescent="0.4">
      <c r="A29" s="109" t="s">
        <v>49</v>
      </c>
      <c r="B29" s="111">
        <v>0</v>
      </c>
      <c r="C29" s="676" t="s">
        <v>50</v>
      </c>
      <c r="D29" s="677"/>
      <c r="E29" s="677"/>
      <c r="F29" s="677"/>
      <c r="G29" s="678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679" t="s">
        <v>53</v>
      </c>
      <c r="D31" s="680"/>
      <c r="E31" s="680"/>
      <c r="F31" s="680"/>
      <c r="G31" s="680"/>
      <c r="H31" s="681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679" t="s">
        <v>55</v>
      </c>
      <c r="D32" s="680"/>
      <c r="E32" s="680"/>
      <c r="F32" s="680"/>
      <c r="G32" s="680"/>
      <c r="H32" s="681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642">
        <v>50</v>
      </c>
      <c r="C36" s="99"/>
      <c r="D36" s="682" t="s">
        <v>59</v>
      </c>
      <c r="E36" s="700"/>
      <c r="F36" s="682" t="s">
        <v>60</v>
      </c>
      <c r="G36" s="68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643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643">
        <v>50</v>
      </c>
      <c r="C38" s="131">
        <v>1</v>
      </c>
      <c r="D38" s="644">
        <v>51440435</v>
      </c>
      <c r="E38" s="132">
        <f>IF(ISBLANK(D38),"-",$D$48/$D$45*D38)</f>
        <v>50704459.766489409</v>
      </c>
      <c r="F38" s="644">
        <v>51536187</v>
      </c>
      <c r="G38" s="133">
        <f>IF(ISBLANK(F38),"-",$D$48/$F$45*F38)</f>
        <v>52600827.753735602</v>
      </c>
      <c r="I38" s="134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5">
        <v>2</v>
      </c>
      <c r="D39" s="645">
        <v>51335149</v>
      </c>
      <c r="E39" s="137">
        <f>IF(ISBLANK(D39),"-",$D$48/$D$45*D39)</f>
        <v>50600680.127942912</v>
      </c>
      <c r="F39" s="645">
        <v>51479881</v>
      </c>
      <c r="G39" s="138">
        <f>IF(ISBLANK(F39),"-",$D$48/$F$45*F39)</f>
        <v>52543358.577610835</v>
      </c>
      <c r="I39" s="684">
        <f>ABS((F43/D43*D42)-F42)/D42</f>
        <v>3.4104904360386684E-2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5">
        <v>3</v>
      </c>
      <c r="D40" s="645">
        <v>51597082</v>
      </c>
      <c r="E40" s="137">
        <f>IF(ISBLANK(D40),"-",$D$48/$D$45*D40)</f>
        <v>50858865.566305086</v>
      </c>
      <c r="F40" s="645">
        <v>51333003</v>
      </c>
      <c r="G40" s="138">
        <f>IF(ISBLANK(F40),"-",$D$48/$F$45*F40)</f>
        <v>52393446.354209192</v>
      </c>
      <c r="I40" s="684"/>
      <c r="L40" s="117"/>
      <c r="M40" s="117"/>
      <c r="N40" s="139"/>
    </row>
    <row r="41" spans="1:14" ht="27" customHeight="1" x14ac:dyDescent="0.4">
      <c r="A41" s="124" t="s">
        <v>69</v>
      </c>
      <c r="B41" s="125">
        <v>1</v>
      </c>
      <c r="C41" s="140">
        <v>4</v>
      </c>
      <c r="D41" s="646"/>
      <c r="E41" s="142" t="str">
        <f>IF(ISBLANK(D41),"-",$D$48/$D$45*D41)</f>
        <v>-</v>
      </c>
      <c r="F41" s="646"/>
      <c r="G41" s="143" t="str">
        <f>IF(ISBLANK(F41),"-",$D$48/$F$45*F41)</f>
        <v>-</v>
      </c>
      <c r="I41" s="144"/>
      <c r="L41" s="117"/>
      <c r="M41" s="117"/>
      <c r="N41" s="139"/>
    </row>
    <row r="42" spans="1:14" ht="27" customHeight="1" x14ac:dyDescent="0.4">
      <c r="A42" s="124" t="s">
        <v>70</v>
      </c>
      <c r="B42" s="125">
        <v>1</v>
      </c>
      <c r="C42" s="145" t="s">
        <v>71</v>
      </c>
      <c r="D42" s="146">
        <f>AVERAGE(D38:D41)</f>
        <v>51457555.333333336</v>
      </c>
      <c r="E42" s="147">
        <f>AVERAGE(E38:E41)</f>
        <v>50721335.153579138</v>
      </c>
      <c r="F42" s="146">
        <f>AVERAGE(F38:F41)</f>
        <v>51449690.333333336</v>
      </c>
      <c r="G42" s="148">
        <f>AVERAGE(G38:G41)</f>
        <v>52512544.228518546</v>
      </c>
      <c r="H42" s="149"/>
    </row>
    <row r="43" spans="1:14" ht="26.25" customHeight="1" x14ac:dyDescent="0.4">
      <c r="A43" s="124" t="s">
        <v>72</v>
      </c>
      <c r="B43" s="125">
        <v>1</v>
      </c>
      <c r="C43" s="150" t="s">
        <v>73</v>
      </c>
      <c r="D43" s="648">
        <v>30.65</v>
      </c>
      <c r="E43" s="139"/>
      <c r="F43" s="652">
        <v>29.6</v>
      </c>
      <c r="H43" s="149"/>
    </row>
    <row r="44" spans="1:14" ht="26.25" customHeight="1" x14ac:dyDescent="0.4">
      <c r="A44" s="124" t="s">
        <v>74</v>
      </c>
      <c r="B44" s="125">
        <v>1</v>
      </c>
      <c r="C44" s="151" t="s">
        <v>75</v>
      </c>
      <c r="D44" s="152">
        <f>D43*$B$34</f>
        <v>30.65</v>
      </c>
      <c r="E44" s="153"/>
      <c r="F44" s="152">
        <f>F43*$B$34</f>
        <v>29.6</v>
      </c>
      <c r="H44" s="149"/>
    </row>
    <row r="45" spans="1:14" ht="19.5" customHeight="1" x14ac:dyDescent="0.3">
      <c r="A45" s="124" t="s">
        <v>76</v>
      </c>
      <c r="B45" s="154">
        <f>(B44/B43)*(B42/B41)*(B40/B39)*(B38/B37)*B36</f>
        <v>250</v>
      </c>
      <c r="C45" s="151" t="s">
        <v>77</v>
      </c>
      <c r="D45" s="155">
        <f>D44*$B$30/100</f>
        <v>30.435449999999996</v>
      </c>
      <c r="E45" s="156"/>
      <c r="F45" s="155">
        <f>F44*$B$30/100</f>
        <v>29.392800000000001</v>
      </c>
      <c r="H45" s="149"/>
    </row>
    <row r="46" spans="1:14" ht="19.5" customHeight="1" x14ac:dyDescent="0.3">
      <c r="A46" s="670" t="s">
        <v>78</v>
      </c>
      <c r="B46" s="671"/>
      <c r="C46" s="151" t="s">
        <v>79</v>
      </c>
      <c r="D46" s="157">
        <f>D45/$B$45</f>
        <v>0.12174179999999998</v>
      </c>
      <c r="E46" s="158"/>
      <c r="F46" s="159">
        <f>F45/$B$45</f>
        <v>0.1175712</v>
      </c>
      <c r="H46" s="149"/>
    </row>
    <row r="47" spans="1:14" ht="27" customHeight="1" x14ac:dyDescent="0.4">
      <c r="A47" s="672"/>
      <c r="B47" s="673"/>
      <c r="C47" s="160" t="s">
        <v>80</v>
      </c>
      <c r="D47" s="649">
        <v>0.12</v>
      </c>
      <c r="E47" s="161"/>
      <c r="F47" s="158"/>
      <c r="H47" s="149"/>
    </row>
    <row r="48" spans="1:14" ht="18.75" x14ac:dyDescent="0.3">
      <c r="C48" s="162" t="s">
        <v>81</v>
      </c>
      <c r="D48" s="155">
        <f>D47*$B$45</f>
        <v>30</v>
      </c>
      <c r="F48" s="163"/>
      <c r="H48" s="149"/>
    </row>
    <row r="49" spans="1:12" ht="19.5" customHeight="1" x14ac:dyDescent="0.3">
      <c r="C49" s="164" t="s">
        <v>82</v>
      </c>
      <c r="D49" s="165">
        <f>D48/B34</f>
        <v>30</v>
      </c>
      <c r="F49" s="163"/>
      <c r="H49" s="149"/>
    </row>
    <row r="50" spans="1:12" ht="18.75" x14ac:dyDescent="0.3">
      <c r="C50" s="122" t="s">
        <v>83</v>
      </c>
      <c r="D50" s="166">
        <f>AVERAGE(E38:E41,G38:G41)</f>
        <v>51616939.691048838</v>
      </c>
      <c r="F50" s="167"/>
      <c r="H50" s="149"/>
    </row>
    <row r="51" spans="1:12" ht="18.75" x14ac:dyDescent="0.3">
      <c r="C51" s="124" t="s">
        <v>84</v>
      </c>
      <c r="D51" s="168">
        <f>STDEV(E38:E41,G38:G41)/D50</f>
        <v>1.9118655124186278E-2</v>
      </c>
      <c r="F51" s="167"/>
      <c r="H51" s="149"/>
    </row>
    <row r="52" spans="1:12" ht="19.5" customHeight="1" x14ac:dyDescent="0.3">
      <c r="C52" s="169" t="s">
        <v>20</v>
      </c>
      <c r="D52" s="170">
        <f>COUNT(E38:E41,G38:G41)</f>
        <v>6</v>
      </c>
      <c r="F52" s="167"/>
    </row>
    <row r="54" spans="1:12" ht="18.75" x14ac:dyDescent="0.3">
      <c r="A54" s="171" t="s">
        <v>1</v>
      </c>
      <c r="B54" s="172" t="s">
        <v>85</v>
      </c>
    </row>
    <row r="55" spans="1:12" ht="18.75" x14ac:dyDescent="0.3">
      <c r="A55" s="99" t="s">
        <v>86</v>
      </c>
      <c r="B55" s="173" t="str">
        <f>B21</f>
        <v>Each film coated tablet contains:
Efavirens USP 600 mg
Lamivudine USP 300 mg
Tenofovir Disproxil Fumarate 300 mg equivalent to Tenofovir Disproxil 245 mg</v>
      </c>
    </row>
    <row r="56" spans="1:12" ht="26.25" customHeight="1" x14ac:dyDescent="0.4">
      <c r="A56" s="174" t="s">
        <v>87</v>
      </c>
      <c r="B56" s="175">
        <v>600</v>
      </c>
      <c r="C56" s="99" t="str">
        <f>B20</f>
        <v>Efavirenz, Tenofovir Disproxil Fumarate, Lamivudine</v>
      </c>
      <c r="H56" s="176"/>
    </row>
    <row r="57" spans="1:12" ht="18.75" x14ac:dyDescent="0.3">
      <c r="A57" s="173" t="s">
        <v>88</v>
      </c>
      <c r="B57" s="265">
        <f>Uniformity!C46</f>
        <v>1740.789</v>
      </c>
      <c r="H57" s="176"/>
    </row>
    <row r="58" spans="1:12" ht="19.5" customHeight="1" x14ac:dyDescent="0.3">
      <c r="H58" s="176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77" t="s">
        <v>90</v>
      </c>
      <c r="E59" s="178" t="s">
        <v>62</v>
      </c>
      <c r="F59" s="178" t="s">
        <v>63</v>
      </c>
      <c r="G59" s="178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687" t="s">
        <v>94</v>
      </c>
      <c r="D60" s="690">
        <v>1739.48</v>
      </c>
      <c r="E60" s="179">
        <v>1</v>
      </c>
      <c r="F60" s="180">
        <v>54607783</v>
      </c>
      <c r="G60" s="266">
        <f>IF(ISBLANK(F60),"-",(F60/$D$50*$D$47*$B$68)*($B$57/$D$60))</f>
        <v>635.24351091340088</v>
      </c>
      <c r="H60" s="181">
        <f t="shared" ref="H60:H71" si="0">IF(ISBLANK(F60),"-",G60/$B$56)</f>
        <v>1.0587391848556682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688"/>
      <c r="D61" s="691"/>
      <c r="E61" s="182">
        <v>2</v>
      </c>
      <c r="F61" s="136">
        <v>54807468</v>
      </c>
      <c r="G61" s="267">
        <f>IF(ISBLANK(F61),"-",(F61/$D$50*$D$47*$B$68)*($B$57/$D$60))</f>
        <v>637.56641423428346</v>
      </c>
      <c r="H61" s="183">
        <f t="shared" si="0"/>
        <v>1.0626106903904724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688"/>
      <c r="D62" s="691"/>
      <c r="E62" s="182">
        <v>3</v>
      </c>
      <c r="F62" s="184">
        <v>54767924</v>
      </c>
      <c r="G62" s="267">
        <f>IF(ISBLANK(F62),"-",(F62/$D$50*$D$47*$B$68)*($B$57/$D$60))</f>
        <v>637.10640527556859</v>
      </c>
      <c r="H62" s="183">
        <f t="shared" si="0"/>
        <v>1.0618440087926144</v>
      </c>
      <c r="L62" s="112"/>
    </row>
    <row r="63" spans="1:12" ht="27" customHeight="1" x14ac:dyDescent="0.4">
      <c r="A63" s="124" t="s">
        <v>97</v>
      </c>
      <c r="B63" s="125">
        <v>1</v>
      </c>
      <c r="C63" s="698"/>
      <c r="D63" s="692"/>
      <c r="E63" s="185">
        <v>4</v>
      </c>
      <c r="F63" s="186"/>
      <c r="G63" s="267" t="str">
        <f>IF(ISBLANK(F63),"-",(F63/$D$50*$D$47*$B$68)*($B$57/$D$60))</f>
        <v>-</v>
      </c>
      <c r="H63" s="183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687" t="s">
        <v>99</v>
      </c>
      <c r="D64" s="690">
        <v>1741.08</v>
      </c>
      <c r="E64" s="179">
        <v>1</v>
      </c>
      <c r="F64" s="180">
        <v>54989088</v>
      </c>
      <c r="G64" s="268">
        <f>IF(ISBLANK(F64),"-",(F64/$D$50*$D$47*$B$68)*($B$57/$D$64))</f>
        <v>639.09132446933563</v>
      </c>
      <c r="H64" s="187">
        <f t="shared" si="0"/>
        <v>1.0651522074488928</v>
      </c>
    </row>
    <row r="65" spans="1:8" ht="26.25" customHeight="1" x14ac:dyDescent="0.4">
      <c r="A65" s="124" t="s">
        <v>100</v>
      </c>
      <c r="B65" s="125">
        <v>1</v>
      </c>
      <c r="C65" s="688"/>
      <c r="D65" s="691"/>
      <c r="E65" s="182">
        <v>2</v>
      </c>
      <c r="F65" s="136">
        <v>55270887</v>
      </c>
      <c r="G65" s="269">
        <f>IF(ISBLANK(F65),"-",(F65/$D$50*$D$47*$B$68)*($B$57/$D$64))</f>
        <v>642.3664341809955</v>
      </c>
      <c r="H65" s="188">
        <f t="shared" si="0"/>
        <v>1.0706107236349924</v>
      </c>
    </row>
    <row r="66" spans="1:8" ht="26.25" customHeight="1" x14ac:dyDescent="0.4">
      <c r="A66" s="124" t="s">
        <v>101</v>
      </c>
      <c r="B66" s="125">
        <v>1</v>
      </c>
      <c r="C66" s="688"/>
      <c r="D66" s="691"/>
      <c r="E66" s="182">
        <v>3</v>
      </c>
      <c r="F66" s="136">
        <v>54682463</v>
      </c>
      <c r="G66" s="269">
        <f>IF(ISBLANK(F66),"-",(F66/$D$50*$D$47*$B$68)*($B$57/$D$64))</f>
        <v>635.52768330901267</v>
      </c>
      <c r="H66" s="188">
        <f t="shared" si="0"/>
        <v>1.0592128055150212</v>
      </c>
    </row>
    <row r="67" spans="1:8" ht="27" customHeight="1" x14ac:dyDescent="0.4">
      <c r="A67" s="124" t="s">
        <v>102</v>
      </c>
      <c r="B67" s="125">
        <v>1</v>
      </c>
      <c r="C67" s="698"/>
      <c r="D67" s="692"/>
      <c r="E67" s="185">
        <v>4</v>
      </c>
      <c r="F67" s="186"/>
      <c r="G67" s="270" t="str">
        <f>IF(ISBLANK(F67),"-",(F67/$D$50*$D$47*$B$68)*($B$57/$D$64))</f>
        <v>-</v>
      </c>
      <c r="H67" s="189" t="str">
        <f t="shared" si="0"/>
        <v>-</v>
      </c>
    </row>
    <row r="68" spans="1:8" ht="26.25" customHeight="1" x14ac:dyDescent="0.4">
      <c r="A68" s="124" t="s">
        <v>103</v>
      </c>
      <c r="B68" s="190">
        <f>(B67/B66)*(B65/B64)*(B63/B62)*(B61/B60)*B59</f>
        <v>5000</v>
      </c>
      <c r="C68" s="687" t="s">
        <v>104</v>
      </c>
      <c r="D68" s="690">
        <v>1738.41</v>
      </c>
      <c r="E68" s="179">
        <v>1</v>
      </c>
      <c r="F68" s="180">
        <v>54478179</v>
      </c>
      <c r="G68" s="268">
        <f>IF(ISBLANK(F68),"-",(F68/$D$50*$D$47*$B$68)*($B$57/$D$68))</f>
        <v>634.12591610145716</v>
      </c>
      <c r="H68" s="183">
        <f t="shared" si="0"/>
        <v>1.0568765268357618</v>
      </c>
    </row>
    <row r="69" spans="1:8" ht="27" customHeight="1" x14ac:dyDescent="0.4">
      <c r="A69" s="169" t="s">
        <v>105</v>
      </c>
      <c r="B69" s="191">
        <f>(D47*B68)/B56*B57</f>
        <v>1740.789</v>
      </c>
      <c r="C69" s="688"/>
      <c r="D69" s="691"/>
      <c r="E69" s="182">
        <v>2</v>
      </c>
      <c r="F69" s="136">
        <v>54116205</v>
      </c>
      <c r="G69" s="269">
        <f>IF(ISBLANK(F69),"-",(F69/$D$50*$D$47*$B$68)*($B$57/$D$68))</f>
        <v>629.91253932256529</v>
      </c>
      <c r="H69" s="183">
        <f t="shared" si="0"/>
        <v>1.0498542322042754</v>
      </c>
    </row>
    <row r="70" spans="1:8" ht="26.25" customHeight="1" x14ac:dyDescent="0.4">
      <c r="A70" s="693" t="s">
        <v>78</v>
      </c>
      <c r="B70" s="694"/>
      <c r="C70" s="688"/>
      <c r="D70" s="691"/>
      <c r="E70" s="182">
        <v>3</v>
      </c>
      <c r="F70" s="136">
        <v>54386105</v>
      </c>
      <c r="G70" s="269">
        <f>IF(ISBLANK(F70),"-",(F70/$D$50*$D$47*$B$68)*($B$57/$D$68))</f>
        <v>633.05417488927151</v>
      </c>
      <c r="H70" s="183">
        <f t="shared" si="0"/>
        <v>1.0550902914821192</v>
      </c>
    </row>
    <row r="71" spans="1:8" ht="27" customHeight="1" x14ac:dyDescent="0.4">
      <c r="A71" s="695"/>
      <c r="B71" s="696"/>
      <c r="C71" s="689"/>
      <c r="D71" s="692"/>
      <c r="E71" s="185">
        <v>4</v>
      </c>
      <c r="F71" s="186"/>
      <c r="G71" s="270" t="str">
        <f>IF(ISBLANK(F71),"-",(F71/$D$50*$D$47*$B$68)*($B$57/$D$68))</f>
        <v>-</v>
      </c>
      <c r="H71" s="192" t="str">
        <f t="shared" si="0"/>
        <v>-</v>
      </c>
    </row>
    <row r="72" spans="1:8" ht="26.25" customHeight="1" x14ac:dyDescent="0.4">
      <c r="A72" s="193"/>
      <c r="B72" s="193"/>
      <c r="C72" s="193"/>
      <c r="D72" s="193"/>
      <c r="E72" s="193"/>
      <c r="F72" s="195" t="s">
        <v>71</v>
      </c>
      <c r="G72" s="275">
        <f>AVERAGE(G60:G71)</f>
        <v>635.99937807732101</v>
      </c>
      <c r="H72" s="196">
        <f>AVERAGE(H60:H71)</f>
        <v>1.0599989634622018</v>
      </c>
    </row>
    <row r="73" spans="1:8" ht="26.25" customHeight="1" x14ac:dyDescent="0.4">
      <c r="C73" s="193"/>
      <c r="D73" s="193"/>
      <c r="E73" s="193"/>
      <c r="F73" s="197" t="s">
        <v>84</v>
      </c>
      <c r="G73" s="271">
        <f>STDEV(G60:G71)/G72</f>
        <v>5.6638804133075796E-3</v>
      </c>
      <c r="H73" s="271">
        <f>STDEV(H60:H71)/H72</f>
        <v>5.6638804133075952E-3</v>
      </c>
    </row>
    <row r="74" spans="1:8" ht="27" customHeight="1" x14ac:dyDescent="0.4">
      <c r="A74" s="193"/>
      <c r="B74" s="193"/>
      <c r="C74" s="194"/>
      <c r="D74" s="194"/>
      <c r="E74" s="198"/>
      <c r="F74" s="199" t="s">
        <v>20</v>
      </c>
      <c r="G74" s="200">
        <f>COUNT(G60:G71)</f>
        <v>9</v>
      </c>
      <c r="H74" s="200">
        <f>COUNT(H60:H71)</f>
        <v>9</v>
      </c>
    </row>
    <row r="76" spans="1:8" ht="26.25" customHeight="1" x14ac:dyDescent="0.4">
      <c r="A76" s="108" t="s">
        <v>106</v>
      </c>
      <c r="B76" s="201" t="s">
        <v>107</v>
      </c>
      <c r="C76" s="674" t="str">
        <f>B20</f>
        <v>Efavirenz, Tenofovir Disproxil Fumarate, Lamivudine</v>
      </c>
      <c r="D76" s="674"/>
      <c r="E76" s="202" t="s">
        <v>108</v>
      </c>
      <c r="F76" s="202"/>
      <c r="G76" s="203">
        <f>H72</f>
        <v>1.0599989634622018</v>
      </c>
      <c r="H76" s="204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697" t="str">
        <f>B26</f>
        <v>Efavirenz</v>
      </c>
      <c r="C79" s="697"/>
    </row>
    <row r="80" spans="1:8" ht="26.25" customHeight="1" x14ac:dyDescent="0.4">
      <c r="A80" s="109" t="s">
        <v>48</v>
      </c>
      <c r="B80" s="697" t="str">
        <f>B27</f>
        <v>E15-3</v>
      </c>
      <c r="C80" s="697"/>
    </row>
    <row r="81" spans="1:12" ht="27" customHeight="1" x14ac:dyDescent="0.4">
      <c r="A81" s="109" t="s">
        <v>6</v>
      </c>
      <c r="B81" s="205">
        <f>B28</f>
        <v>99.3</v>
      </c>
    </row>
    <row r="82" spans="1:12" s="14" customFormat="1" ht="27" customHeight="1" x14ac:dyDescent="0.4">
      <c r="A82" s="109" t="s">
        <v>49</v>
      </c>
      <c r="B82" s="111">
        <v>0</v>
      </c>
      <c r="C82" s="676" t="s">
        <v>50</v>
      </c>
      <c r="D82" s="677"/>
      <c r="E82" s="677"/>
      <c r="F82" s="677"/>
      <c r="G82" s="678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154.46</v>
      </c>
      <c r="C84" s="679" t="s">
        <v>111</v>
      </c>
      <c r="D84" s="680"/>
      <c r="E84" s="680"/>
      <c r="F84" s="680"/>
      <c r="G84" s="680"/>
      <c r="H84" s="681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165.23</v>
      </c>
      <c r="C85" s="679" t="s">
        <v>112</v>
      </c>
      <c r="D85" s="680"/>
      <c r="E85" s="680"/>
      <c r="F85" s="680"/>
      <c r="G85" s="680"/>
      <c r="H85" s="681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0.93481813230042976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6" t="s">
        <v>59</v>
      </c>
      <c r="E89" s="207"/>
      <c r="F89" s="682" t="s">
        <v>60</v>
      </c>
      <c r="G89" s="683"/>
    </row>
    <row r="90" spans="1:12" ht="27" customHeight="1" x14ac:dyDescent="0.4">
      <c r="A90" s="124" t="s">
        <v>61</v>
      </c>
      <c r="B90" s="125">
        <v>1</v>
      </c>
      <c r="C90" s="208" t="s">
        <v>62</v>
      </c>
      <c r="D90" s="127" t="s">
        <v>63</v>
      </c>
      <c r="E90" s="128" t="s">
        <v>64</v>
      </c>
      <c r="F90" s="127" t="s">
        <v>63</v>
      </c>
      <c r="G90" s="209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10">
        <v>1</v>
      </c>
      <c r="D91" s="655">
        <v>219976718</v>
      </c>
      <c r="E91" s="132">
        <f>IF(ISBLANK(D91),"-",$D$101/$D$98*D91)</f>
        <v>241563511.8043597</v>
      </c>
      <c r="F91" s="644">
        <v>231536110</v>
      </c>
      <c r="G91" s="133">
        <f>IF(ISBLANK(F91),"-",$D$101/$F$98*F91)</f>
        <v>242161518.73235989</v>
      </c>
      <c r="I91" s="134"/>
    </row>
    <row r="92" spans="1:12" ht="26.25" customHeight="1" x14ac:dyDescent="0.4">
      <c r="A92" s="124" t="s">
        <v>67</v>
      </c>
      <c r="B92" s="125">
        <v>1</v>
      </c>
      <c r="C92" s="194">
        <v>2</v>
      </c>
      <c r="D92" s="655">
        <v>220464904</v>
      </c>
      <c r="E92" s="137">
        <f>IF(ISBLANK(D92),"-",$D$101/$D$98*D92)</f>
        <v>242099604.55838344</v>
      </c>
      <c r="F92" s="645">
        <v>233044345</v>
      </c>
      <c r="G92" s="138">
        <f>IF(ISBLANK(F92),"-",$D$101/$F$98*F92)</f>
        <v>243738968.04774013</v>
      </c>
      <c r="I92" s="684">
        <f>ABS((F96/D96*D95)-F95)/D95</f>
        <v>5.4838445208947213E-3</v>
      </c>
    </row>
    <row r="93" spans="1:12" ht="26.25" customHeight="1" x14ac:dyDescent="0.4">
      <c r="A93" s="124" t="s">
        <v>68</v>
      </c>
      <c r="B93" s="125">
        <v>1</v>
      </c>
      <c r="C93" s="194">
        <v>3</v>
      </c>
      <c r="D93" s="656">
        <v>221397553</v>
      </c>
      <c r="E93" s="137">
        <f>IF(ISBLANK(D93),"-",$D$101/$D$98*D93)</f>
        <v>243123776.43333989</v>
      </c>
      <c r="F93" s="645">
        <v>233946369</v>
      </c>
      <c r="G93" s="138">
        <f>IF(ISBLANK(F93),"-",$D$101/$F$98*F93)</f>
        <v>244682386.77310887</v>
      </c>
      <c r="I93" s="684"/>
    </row>
    <row r="94" spans="1:12" ht="27" customHeight="1" x14ac:dyDescent="0.4">
      <c r="A94" s="124" t="s">
        <v>69</v>
      </c>
      <c r="B94" s="125">
        <v>1</v>
      </c>
      <c r="C94" s="211">
        <v>4</v>
      </c>
      <c r="D94" s="141"/>
      <c r="E94" s="142" t="str">
        <f>IF(ISBLANK(D94),"-",$D$101/$D$98*D94)</f>
        <v>-</v>
      </c>
      <c r="F94" s="212"/>
      <c r="G94" s="143" t="str">
        <f>IF(ISBLANK(F94),"-",$D$101/$F$98*F94)</f>
        <v>-</v>
      </c>
      <c r="I94" s="144"/>
    </row>
    <row r="95" spans="1:12" ht="27" customHeight="1" x14ac:dyDescent="0.4">
      <c r="A95" s="124" t="s">
        <v>70</v>
      </c>
      <c r="B95" s="125">
        <v>1</v>
      </c>
      <c r="C95" s="213" t="s">
        <v>71</v>
      </c>
      <c r="D95" s="214">
        <f>AVERAGE(D91:D94)</f>
        <v>220613058.33333334</v>
      </c>
      <c r="E95" s="147">
        <f>AVERAGE(E91:E94)</f>
        <v>242262297.59869432</v>
      </c>
      <c r="F95" s="215">
        <f>AVERAGE(F91:F94)</f>
        <v>232842274.66666666</v>
      </c>
      <c r="G95" s="216">
        <f>AVERAGE(G91:G94)</f>
        <v>243527624.51773629</v>
      </c>
    </row>
    <row r="96" spans="1:12" ht="26.25" customHeight="1" x14ac:dyDescent="0.4">
      <c r="A96" s="124" t="s">
        <v>72</v>
      </c>
      <c r="B96" s="110">
        <v>1</v>
      </c>
      <c r="C96" s="217" t="s">
        <v>113</v>
      </c>
      <c r="D96" s="218">
        <v>29.43</v>
      </c>
      <c r="E96" s="139"/>
      <c r="F96" s="652">
        <v>30.9</v>
      </c>
    </row>
    <row r="97" spans="1:10" ht="26.25" customHeight="1" x14ac:dyDescent="0.4">
      <c r="A97" s="124" t="s">
        <v>74</v>
      </c>
      <c r="B97" s="110">
        <v>1</v>
      </c>
      <c r="C97" s="219" t="s">
        <v>114</v>
      </c>
      <c r="D97" s="220">
        <f>D96*$B$87</f>
        <v>27.511697633601649</v>
      </c>
      <c r="E97" s="153"/>
      <c r="F97" s="152">
        <f>F96*$B$87</f>
        <v>28.885880288083278</v>
      </c>
    </row>
    <row r="98" spans="1:10" ht="19.5" customHeight="1" x14ac:dyDescent="0.3">
      <c r="A98" s="124" t="s">
        <v>76</v>
      </c>
      <c r="B98" s="221">
        <f>(B97/B96)*(B95/B94)*(B93/B92)*(B91/B90)*B89</f>
        <v>50</v>
      </c>
      <c r="C98" s="219" t="s">
        <v>115</v>
      </c>
      <c r="D98" s="222">
        <f>D97*$B$83/100</f>
        <v>27.319115750166439</v>
      </c>
      <c r="E98" s="156"/>
      <c r="F98" s="155">
        <f>F97*$B$83/100</f>
        <v>28.683679126066696</v>
      </c>
    </row>
    <row r="99" spans="1:10" ht="19.5" customHeight="1" x14ac:dyDescent="0.3">
      <c r="A99" s="670" t="s">
        <v>78</v>
      </c>
      <c r="B99" s="685"/>
      <c r="C99" s="219" t="s">
        <v>116</v>
      </c>
      <c r="D99" s="223">
        <f>D98/$B$98</f>
        <v>0.54638231500332879</v>
      </c>
      <c r="E99" s="156"/>
      <c r="F99" s="159">
        <f>F98/$B$98</f>
        <v>0.57367358252133394</v>
      </c>
      <c r="G99" s="224"/>
      <c r="H99" s="149"/>
    </row>
    <row r="100" spans="1:10" ht="19.5" customHeight="1" x14ac:dyDescent="0.3">
      <c r="A100" s="672"/>
      <c r="B100" s="686"/>
      <c r="C100" s="219" t="s">
        <v>80</v>
      </c>
      <c r="D100" s="225">
        <f>$B$56/$B$116</f>
        <v>0.6</v>
      </c>
      <c r="F100" s="163"/>
      <c r="G100" s="226"/>
      <c r="H100" s="149"/>
    </row>
    <row r="101" spans="1:10" ht="18.75" x14ac:dyDescent="0.3">
      <c r="C101" s="219" t="s">
        <v>81</v>
      </c>
      <c r="D101" s="220">
        <f>D100*$B$98</f>
        <v>30</v>
      </c>
      <c r="F101" s="163"/>
      <c r="G101" s="224"/>
      <c r="H101" s="149"/>
    </row>
    <row r="102" spans="1:10" ht="19.5" customHeight="1" x14ac:dyDescent="0.3">
      <c r="C102" s="227" t="s">
        <v>82</v>
      </c>
      <c r="D102" s="228">
        <f>D101/B34</f>
        <v>30</v>
      </c>
      <c r="F102" s="167"/>
      <c r="G102" s="224"/>
      <c r="H102" s="149"/>
      <c r="J102" s="229"/>
    </row>
    <row r="103" spans="1:10" ht="18.75" x14ac:dyDescent="0.3">
      <c r="C103" s="230" t="s">
        <v>117</v>
      </c>
      <c r="D103" s="231">
        <f>AVERAGE(E91:E94,G91:G94)</f>
        <v>242894961.05821535</v>
      </c>
      <c r="F103" s="167"/>
      <c r="G103" s="232"/>
      <c r="H103" s="149"/>
      <c r="J103" s="233"/>
    </row>
    <row r="104" spans="1:10" ht="18.75" x14ac:dyDescent="0.3">
      <c r="C104" s="197" t="s">
        <v>84</v>
      </c>
      <c r="D104" s="234">
        <f>STDEV(E91:E94,G91:G94)/D103</f>
        <v>4.8373967368197743E-3</v>
      </c>
      <c r="F104" s="167"/>
      <c r="G104" s="224"/>
      <c r="H104" s="149"/>
      <c r="J104" s="233"/>
    </row>
    <row r="105" spans="1:10" ht="19.5" customHeight="1" x14ac:dyDescent="0.3">
      <c r="C105" s="199" t="s">
        <v>20</v>
      </c>
      <c r="D105" s="235">
        <f>COUNT(E91:E94,G91:G94)</f>
        <v>6</v>
      </c>
      <c r="F105" s="167"/>
      <c r="G105" s="224"/>
      <c r="H105" s="149"/>
      <c r="J105" s="233"/>
    </row>
    <row r="106" spans="1:10" ht="19.5" customHeight="1" thickBot="1" x14ac:dyDescent="0.35">
      <c r="A106" s="171"/>
      <c r="B106" s="171"/>
      <c r="C106" s="171"/>
      <c r="D106" s="171"/>
      <c r="E106" s="171"/>
    </row>
    <row r="107" spans="1:10" ht="26.25" customHeight="1" x14ac:dyDescent="0.4">
      <c r="A107" s="122" t="s">
        <v>118</v>
      </c>
      <c r="B107" s="123">
        <v>1000</v>
      </c>
      <c r="C107" s="236" t="s">
        <v>119</v>
      </c>
      <c r="D107" s="237" t="s">
        <v>63</v>
      </c>
      <c r="E107" s="238" t="s">
        <v>120</v>
      </c>
      <c r="F107" s="239" t="s">
        <v>121</v>
      </c>
    </row>
    <row r="108" spans="1:10" ht="26.25" customHeight="1" x14ac:dyDescent="0.4">
      <c r="A108" s="124" t="s">
        <v>122</v>
      </c>
      <c r="B108" s="125">
        <v>1</v>
      </c>
      <c r="C108" s="240">
        <v>1</v>
      </c>
      <c r="D108" s="241">
        <v>239291219</v>
      </c>
      <c r="E108" s="272">
        <f t="shared" ref="E108:E113" si="1">IF(ISBLANK(D108),"-",D108/$D$103*$D$100*$B$116)</f>
        <v>591.09802350156212</v>
      </c>
      <c r="F108" s="242">
        <f t="shared" ref="F108:F113" si="2">IF(ISBLANK(D108), "-", E108/$B$56)</f>
        <v>0.98516337250260355</v>
      </c>
    </row>
    <row r="109" spans="1:10" ht="26.25" customHeight="1" x14ac:dyDescent="0.4">
      <c r="A109" s="124" t="s">
        <v>95</v>
      </c>
      <c r="B109" s="125">
        <v>1</v>
      </c>
      <c r="C109" s="240">
        <v>2</v>
      </c>
      <c r="D109" s="241">
        <v>236956046</v>
      </c>
      <c r="E109" s="273">
        <f t="shared" si="1"/>
        <v>585.32967081982747</v>
      </c>
      <c r="F109" s="243">
        <f t="shared" si="2"/>
        <v>0.97554945136637916</v>
      </c>
    </row>
    <row r="110" spans="1:10" ht="26.25" customHeight="1" x14ac:dyDescent="0.4">
      <c r="A110" s="124" t="s">
        <v>96</v>
      </c>
      <c r="B110" s="125">
        <v>1</v>
      </c>
      <c r="C110" s="240">
        <v>3</v>
      </c>
      <c r="D110" s="241">
        <v>244844324</v>
      </c>
      <c r="E110" s="273">
        <f t="shared" si="1"/>
        <v>604.81532329849551</v>
      </c>
      <c r="F110" s="243">
        <f t="shared" si="2"/>
        <v>1.0080255388308259</v>
      </c>
    </row>
    <row r="111" spans="1:10" ht="26.25" customHeight="1" x14ac:dyDescent="0.4">
      <c r="A111" s="124" t="s">
        <v>97</v>
      </c>
      <c r="B111" s="125">
        <v>1</v>
      </c>
      <c r="C111" s="240">
        <v>4</v>
      </c>
      <c r="D111" s="241">
        <v>244801906</v>
      </c>
      <c r="E111" s="273">
        <f t="shared" si="1"/>
        <v>604.71054220345297</v>
      </c>
      <c r="F111" s="243">
        <f t="shared" si="2"/>
        <v>1.0078509036724217</v>
      </c>
    </row>
    <row r="112" spans="1:10" ht="26.25" customHeight="1" x14ac:dyDescent="0.4">
      <c r="A112" s="124" t="s">
        <v>98</v>
      </c>
      <c r="B112" s="125">
        <v>1</v>
      </c>
      <c r="C112" s="240">
        <v>5</v>
      </c>
      <c r="D112" s="241">
        <v>236292518</v>
      </c>
      <c r="E112" s="273">
        <f t="shared" si="1"/>
        <v>583.6906215852714</v>
      </c>
      <c r="F112" s="243">
        <f t="shared" si="2"/>
        <v>0.97281770264211898</v>
      </c>
    </row>
    <row r="113" spans="1:10" ht="26.25" customHeight="1" x14ac:dyDescent="0.4">
      <c r="A113" s="124" t="s">
        <v>100</v>
      </c>
      <c r="B113" s="125">
        <v>1</v>
      </c>
      <c r="C113" s="244">
        <v>6</v>
      </c>
      <c r="D113" s="245">
        <v>242076877</v>
      </c>
      <c r="E113" s="274">
        <f t="shared" si="1"/>
        <v>597.97916583863764</v>
      </c>
      <c r="F113" s="246">
        <f t="shared" si="2"/>
        <v>0.99663194306439606</v>
      </c>
    </row>
    <row r="114" spans="1:10" ht="26.25" customHeight="1" x14ac:dyDescent="0.4">
      <c r="A114" s="124" t="s">
        <v>101</v>
      </c>
      <c r="B114" s="125">
        <v>1</v>
      </c>
      <c r="C114" s="240"/>
      <c r="D114" s="194"/>
      <c r="E114" s="98"/>
      <c r="F114" s="247"/>
    </row>
    <row r="115" spans="1:10" ht="26.25" customHeight="1" x14ac:dyDescent="0.4">
      <c r="A115" s="124" t="s">
        <v>102</v>
      </c>
      <c r="B115" s="125">
        <v>1</v>
      </c>
      <c r="C115" s="240"/>
      <c r="D115" s="248" t="s">
        <v>71</v>
      </c>
      <c r="E115" s="276">
        <f>AVERAGE(E108:E113)</f>
        <v>594.60389120787443</v>
      </c>
      <c r="F115" s="249">
        <f>AVERAGE(F108:F113)</f>
        <v>0.99100648534645763</v>
      </c>
    </row>
    <row r="116" spans="1:10" ht="27" customHeight="1" x14ac:dyDescent="0.4">
      <c r="A116" s="124" t="s">
        <v>103</v>
      </c>
      <c r="B116" s="154">
        <f>(B115/B114)*(B113/B112)*(B111/B110)*(B109/B108)*B107</f>
        <v>1000</v>
      </c>
      <c r="C116" s="250"/>
      <c r="D116" s="213" t="s">
        <v>84</v>
      </c>
      <c r="E116" s="251">
        <f>STDEV(E108:E113)/E115</f>
        <v>1.5690531458822123E-2</v>
      </c>
      <c r="F116" s="251">
        <f>STDEV(F108:F113)/F115</f>
        <v>1.5690531458822141E-2</v>
      </c>
      <c r="I116" s="98"/>
    </row>
    <row r="117" spans="1:10" ht="27" customHeight="1" x14ac:dyDescent="0.4">
      <c r="A117" s="670" t="s">
        <v>78</v>
      </c>
      <c r="B117" s="671"/>
      <c r="C117" s="252"/>
      <c r="D117" s="253" t="s">
        <v>20</v>
      </c>
      <c r="E117" s="254">
        <f>COUNT(E108:E113)</f>
        <v>6</v>
      </c>
      <c r="F117" s="254">
        <f>COUNT(F108:F113)</f>
        <v>6</v>
      </c>
      <c r="I117" s="98"/>
      <c r="J117" s="233"/>
    </row>
    <row r="118" spans="1:10" ht="19.5" customHeight="1" x14ac:dyDescent="0.3">
      <c r="A118" s="672"/>
      <c r="B118" s="673"/>
      <c r="C118" s="98"/>
      <c r="D118" s="98"/>
      <c r="E118" s="98"/>
      <c r="F118" s="194"/>
      <c r="G118" s="98"/>
      <c r="H118" s="98"/>
      <c r="I118" s="98"/>
    </row>
    <row r="119" spans="1:10" ht="18.75" x14ac:dyDescent="0.3">
      <c r="A119" s="263"/>
      <c r="B119" s="120"/>
      <c r="C119" s="98"/>
      <c r="D119" s="98"/>
      <c r="E119" s="98"/>
      <c r="F119" s="194"/>
      <c r="G119" s="98"/>
      <c r="H119" s="98"/>
      <c r="I119" s="98"/>
    </row>
    <row r="120" spans="1:10" ht="26.25" customHeight="1" x14ac:dyDescent="0.4">
      <c r="A120" s="108" t="s">
        <v>106</v>
      </c>
      <c r="B120" s="201" t="s">
        <v>123</v>
      </c>
      <c r="C120" s="674" t="str">
        <f>B20</f>
        <v>Efavirenz, Tenofovir Disproxil Fumarate, Lamivudine</v>
      </c>
      <c r="D120" s="674"/>
      <c r="E120" s="202" t="s">
        <v>124</v>
      </c>
      <c r="F120" s="202"/>
      <c r="G120" s="203">
        <f>F115</f>
        <v>0.99100648534645763</v>
      </c>
      <c r="H120" s="98"/>
      <c r="I120" s="98"/>
    </row>
    <row r="121" spans="1:10" ht="19.5" customHeight="1" x14ac:dyDescent="0.3">
      <c r="A121" s="255"/>
      <c r="B121" s="255"/>
      <c r="C121" s="256"/>
      <c r="D121" s="256"/>
      <c r="E121" s="256"/>
      <c r="F121" s="256"/>
      <c r="G121" s="256"/>
      <c r="H121" s="256"/>
    </row>
    <row r="122" spans="1:10" ht="18.75" x14ac:dyDescent="0.3">
      <c r="B122" s="675" t="s">
        <v>26</v>
      </c>
      <c r="C122" s="675"/>
      <c r="E122" s="208" t="s">
        <v>27</v>
      </c>
      <c r="F122" s="257"/>
      <c r="G122" s="675" t="s">
        <v>28</v>
      </c>
      <c r="H122" s="675"/>
    </row>
    <row r="123" spans="1:10" ht="69.95" customHeight="1" x14ac:dyDescent="0.3">
      <c r="A123" s="258" t="s">
        <v>29</v>
      </c>
      <c r="B123" s="259"/>
      <c r="C123" s="657" t="s">
        <v>135</v>
      </c>
      <c r="E123" s="657" t="s">
        <v>133</v>
      </c>
      <c r="F123" s="98"/>
      <c r="G123" s="260"/>
      <c r="H123" s="260"/>
    </row>
    <row r="124" spans="1:10" ht="69.95" customHeight="1" x14ac:dyDescent="0.3">
      <c r="A124" s="258" t="s">
        <v>30</v>
      </c>
      <c r="B124" s="261"/>
      <c r="C124" s="261"/>
      <c r="E124" s="261"/>
      <c r="F124" s="98"/>
      <c r="G124" s="262"/>
      <c r="H124" s="262"/>
    </row>
    <row r="125" spans="1:10" ht="18.75" x14ac:dyDescent="0.3">
      <c r="A125" s="193"/>
      <c r="B125" s="193"/>
      <c r="C125" s="194"/>
      <c r="D125" s="194"/>
      <c r="E125" s="194"/>
      <c r="F125" s="198"/>
      <c r="G125" s="194"/>
      <c r="H125" s="194"/>
      <c r="I125" s="98"/>
    </row>
    <row r="126" spans="1:10" ht="18.75" x14ac:dyDescent="0.3">
      <c r="A126" s="193"/>
      <c r="B126" s="193"/>
      <c r="C126" s="194"/>
      <c r="D126" s="194"/>
      <c r="E126" s="194"/>
      <c r="F126" s="198"/>
      <c r="G126" s="194"/>
      <c r="H126" s="194"/>
      <c r="I126" s="98"/>
    </row>
    <row r="127" spans="1:10" ht="18.75" x14ac:dyDescent="0.3">
      <c r="A127" s="193"/>
      <c r="B127" s="193"/>
      <c r="C127" s="194"/>
      <c r="D127" s="194"/>
      <c r="E127" s="194"/>
      <c r="F127" s="198"/>
      <c r="G127" s="194"/>
      <c r="H127" s="194"/>
      <c r="I127" s="98"/>
    </row>
    <row r="128" spans="1:10" ht="18.75" x14ac:dyDescent="0.3">
      <c r="A128" s="193"/>
      <c r="B128" s="193"/>
      <c r="C128" s="194"/>
      <c r="D128" s="194"/>
      <c r="E128" s="194"/>
      <c r="F128" s="198"/>
      <c r="G128" s="194"/>
      <c r="H128" s="194"/>
      <c r="I128" s="98"/>
    </row>
    <row r="129" spans="1:9" ht="18.75" x14ac:dyDescent="0.3">
      <c r="A129" s="193"/>
      <c r="B129" s="193"/>
      <c r="C129" s="194"/>
      <c r="D129" s="194"/>
      <c r="E129" s="194"/>
      <c r="F129" s="198"/>
      <c r="G129" s="194"/>
      <c r="H129" s="194"/>
      <c r="I129" s="98"/>
    </row>
    <row r="130" spans="1:9" ht="18.75" x14ac:dyDescent="0.3">
      <c r="A130" s="193"/>
      <c r="B130" s="193"/>
      <c r="C130" s="194"/>
      <c r="D130" s="194"/>
      <c r="E130" s="194"/>
      <c r="F130" s="198"/>
      <c r="G130" s="194"/>
      <c r="H130" s="194"/>
      <c r="I130" s="98"/>
    </row>
    <row r="131" spans="1:9" ht="18.75" x14ac:dyDescent="0.3">
      <c r="A131" s="193"/>
      <c r="B131" s="193"/>
      <c r="C131" s="194"/>
      <c r="D131" s="194"/>
      <c r="E131" s="194"/>
      <c r="F131" s="198"/>
      <c r="G131" s="194"/>
      <c r="H131" s="194"/>
      <c r="I131" s="98"/>
    </row>
    <row r="132" spans="1:9" ht="18.75" x14ac:dyDescent="0.3">
      <c r="A132" s="193"/>
      <c r="B132" s="193"/>
      <c r="C132" s="194"/>
      <c r="D132" s="194"/>
      <c r="E132" s="194"/>
      <c r="F132" s="198"/>
      <c r="G132" s="194"/>
      <c r="H132" s="194"/>
      <c r="I132" s="98"/>
    </row>
    <row r="133" spans="1:9" ht="18.75" x14ac:dyDescent="0.3">
      <c r="A133" s="193"/>
      <c r="B133" s="193"/>
      <c r="C133" s="194"/>
      <c r="D133" s="194"/>
      <c r="E133" s="194"/>
      <c r="F133" s="198"/>
      <c r="G133" s="194"/>
      <c r="H133" s="194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5" zoomScale="40" zoomScaleNormal="40" zoomScaleSheetLayoutView="40" zoomScalePageLayoutView="55" workbookViewId="0">
      <selection activeCell="E99" sqref="E9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8" t="s">
        <v>45</v>
      </c>
      <c r="B1" s="668"/>
      <c r="C1" s="668"/>
      <c r="D1" s="668"/>
      <c r="E1" s="668"/>
      <c r="F1" s="668"/>
      <c r="G1" s="668"/>
      <c r="H1" s="668"/>
      <c r="I1" s="668"/>
    </row>
    <row r="2" spans="1:9" ht="18.75" customHeight="1" x14ac:dyDescent="0.25">
      <c r="A2" s="668"/>
      <c r="B2" s="668"/>
      <c r="C2" s="668"/>
      <c r="D2" s="668"/>
      <c r="E2" s="668"/>
      <c r="F2" s="668"/>
      <c r="G2" s="668"/>
      <c r="H2" s="668"/>
      <c r="I2" s="668"/>
    </row>
    <row r="3" spans="1:9" ht="18.75" customHeight="1" x14ac:dyDescent="0.25">
      <c r="A3" s="668"/>
      <c r="B3" s="668"/>
      <c r="C3" s="668"/>
      <c r="D3" s="668"/>
      <c r="E3" s="668"/>
      <c r="F3" s="668"/>
      <c r="G3" s="668"/>
      <c r="H3" s="668"/>
      <c r="I3" s="668"/>
    </row>
    <row r="4" spans="1:9" ht="18.75" customHeight="1" x14ac:dyDescent="0.25">
      <c r="A4" s="668"/>
      <c r="B4" s="668"/>
      <c r="C4" s="668"/>
      <c r="D4" s="668"/>
      <c r="E4" s="668"/>
      <c r="F4" s="668"/>
      <c r="G4" s="668"/>
      <c r="H4" s="668"/>
      <c r="I4" s="668"/>
    </row>
    <row r="5" spans="1:9" ht="18.75" customHeight="1" x14ac:dyDescent="0.25">
      <c r="A5" s="668"/>
      <c r="B5" s="668"/>
      <c r="C5" s="668"/>
      <c r="D5" s="668"/>
      <c r="E5" s="668"/>
      <c r="F5" s="668"/>
      <c r="G5" s="668"/>
      <c r="H5" s="668"/>
      <c r="I5" s="668"/>
    </row>
    <row r="6" spans="1:9" ht="18.75" customHeight="1" x14ac:dyDescent="0.25">
      <c r="A6" s="668"/>
      <c r="B6" s="668"/>
      <c r="C6" s="668"/>
      <c r="D6" s="668"/>
      <c r="E6" s="668"/>
      <c r="F6" s="668"/>
      <c r="G6" s="668"/>
      <c r="H6" s="668"/>
      <c r="I6" s="668"/>
    </row>
    <row r="7" spans="1:9" ht="18.75" customHeight="1" x14ac:dyDescent="0.25">
      <c r="A7" s="668"/>
      <c r="B7" s="668"/>
      <c r="C7" s="668"/>
      <c r="D7" s="668"/>
      <c r="E7" s="668"/>
      <c r="F7" s="668"/>
      <c r="G7" s="668"/>
      <c r="H7" s="668"/>
      <c r="I7" s="668"/>
    </row>
    <row r="8" spans="1:9" x14ac:dyDescent="0.25">
      <c r="A8" s="669" t="s">
        <v>46</v>
      </c>
      <c r="B8" s="669"/>
      <c r="C8" s="669"/>
      <c r="D8" s="669"/>
      <c r="E8" s="669"/>
      <c r="F8" s="669"/>
      <c r="G8" s="669"/>
      <c r="H8" s="669"/>
      <c r="I8" s="669"/>
    </row>
    <row r="9" spans="1:9" x14ac:dyDescent="0.25">
      <c r="A9" s="669"/>
      <c r="B9" s="669"/>
      <c r="C9" s="669"/>
      <c r="D9" s="669"/>
      <c r="E9" s="669"/>
      <c r="F9" s="669"/>
      <c r="G9" s="669"/>
      <c r="H9" s="669"/>
      <c r="I9" s="669"/>
    </row>
    <row r="10" spans="1:9" x14ac:dyDescent="0.25">
      <c r="A10" s="669"/>
      <c r="B10" s="669"/>
      <c r="C10" s="669"/>
      <c r="D10" s="669"/>
      <c r="E10" s="669"/>
      <c r="F10" s="669"/>
      <c r="G10" s="669"/>
      <c r="H10" s="669"/>
      <c r="I10" s="669"/>
    </row>
    <row r="11" spans="1:9" x14ac:dyDescent="0.25">
      <c r="A11" s="669"/>
      <c r="B11" s="669"/>
      <c r="C11" s="669"/>
      <c r="D11" s="669"/>
      <c r="E11" s="669"/>
      <c r="F11" s="669"/>
      <c r="G11" s="669"/>
      <c r="H11" s="669"/>
      <c r="I11" s="669"/>
    </row>
    <row r="12" spans="1:9" x14ac:dyDescent="0.25">
      <c r="A12" s="669"/>
      <c r="B12" s="669"/>
      <c r="C12" s="669"/>
      <c r="D12" s="669"/>
      <c r="E12" s="669"/>
      <c r="F12" s="669"/>
      <c r="G12" s="669"/>
      <c r="H12" s="669"/>
      <c r="I12" s="669"/>
    </row>
    <row r="13" spans="1:9" x14ac:dyDescent="0.25">
      <c r="A13" s="669"/>
      <c r="B13" s="669"/>
      <c r="C13" s="669"/>
      <c r="D13" s="669"/>
      <c r="E13" s="669"/>
      <c r="F13" s="669"/>
      <c r="G13" s="669"/>
      <c r="H13" s="669"/>
      <c r="I13" s="669"/>
    </row>
    <row r="14" spans="1:9" x14ac:dyDescent="0.25">
      <c r="A14" s="669"/>
      <c r="B14" s="669"/>
      <c r="C14" s="669"/>
      <c r="D14" s="669"/>
      <c r="E14" s="669"/>
      <c r="F14" s="669"/>
      <c r="G14" s="669"/>
      <c r="H14" s="669"/>
      <c r="I14" s="669"/>
    </row>
    <row r="15" spans="1:9" ht="19.5" customHeight="1" x14ac:dyDescent="0.3">
      <c r="A15" s="278"/>
    </row>
    <row r="16" spans="1:9" ht="19.5" customHeight="1" x14ac:dyDescent="0.3">
      <c r="A16" s="702" t="s">
        <v>31</v>
      </c>
      <c r="B16" s="703"/>
      <c r="C16" s="703"/>
      <c r="D16" s="703"/>
      <c r="E16" s="703"/>
      <c r="F16" s="703"/>
      <c r="G16" s="703"/>
      <c r="H16" s="704"/>
    </row>
    <row r="17" spans="1:14" ht="20.25" customHeight="1" x14ac:dyDescent="0.25">
      <c r="A17" s="705" t="s">
        <v>47</v>
      </c>
      <c r="B17" s="705"/>
      <c r="C17" s="705"/>
      <c r="D17" s="705"/>
      <c r="E17" s="705"/>
      <c r="F17" s="705"/>
      <c r="G17" s="705"/>
      <c r="H17" s="705"/>
    </row>
    <row r="18" spans="1:14" ht="26.25" customHeight="1" x14ac:dyDescent="0.4">
      <c r="A18" s="280" t="s">
        <v>33</v>
      </c>
      <c r="B18" s="701" t="s">
        <v>5</v>
      </c>
      <c r="C18" s="701"/>
      <c r="D18" s="447"/>
      <c r="E18" s="281"/>
      <c r="F18" s="282"/>
      <c r="G18" s="282"/>
      <c r="H18" s="282"/>
    </row>
    <row r="19" spans="1:14" ht="26.25" customHeight="1" x14ac:dyDescent="0.4">
      <c r="A19" s="280" t="s">
        <v>34</v>
      </c>
      <c r="B19" s="283" t="s">
        <v>7</v>
      </c>
      <c r="C19" s="460">
        <v>29</v>
      </c>
      <c r="D19" s="282"/>
      <c r="E19" s="282"/>
      <c r="F19" s="282"/>
      <c r="G19" s="282"/>
      <c r="H19" s="282"/>
    </row>
    <row r="20" spans="1:14" ht="26.25" customHeight="1" x14ac:dyDescent="0.4">
      <c r="A20" s="280" t="s">
        <v>35</v>
      </c>
      <c r="B20" s="706" t="s">
        <v>9</v>
      </c>
      <c r="C20" s="706"/>
      <c r="D20" s="282"/>
      <c r="E20" s="282"/>
      <c r="F20" s="282"/>
      <c r="G20" s="282"/>
      <c r="H20" s="282"/>
    </row>
    <row r="21" spans="1:14" ht="26.25" customHeight="1" x14ac:dyDescent="0.4">
      <c r="A21" s="280" t="s">
        <v>36</v>
      </c>
      <c r="B21" s="706" t="s">
        <v>11</v>
      </c>
      <c r="C21" s="706"/>
      <c r="D21" s="706"/>
      <c r="E21" s="706"/>
      <c r="F21" s="706"/>
      <c r="G21" s="706"/>
      <c r="H21" s="706"/>
      <c r="I21" s="284"/>
    </row>
    <row r="22" spans="1:14" ht="26.25" customHeight="1" x14ac:dyDescent="0.4">
      <c r="A22" s="280" t="s">
        <v>37</v>
      </c>
      <c r="B22" s="285">
        <v>42293</v>
      </c>
      <c r="C22" s="282"/>
      <c r="D22" s="282"/>
      <c r="E22" s="282"/>
      <c r="F22" s="282"/>
      <c r="G22" s="282"/>
      <c r="H22" s="282"/>
    </row>
    <row r="23" spans="1:14" ht="26.25" customHeight="1" x14ac:dyDescent="0.4">
      <c r="A23" s="280" t="s">
        <v>38</v>
      </c>
      <c r="B23" s="285">
        <v>42305</v>
      </c>
      <c r="C23" s="282"/>
      <c r="D23" s="282"/>
      <c r="E23" s="282"/>
      <c r="F23" s="282"/>
      <c r="G23" s="282"/>
      <c r="H23" s="282"/>
    </row>
    <row r="24" spans="1:14" ht="18.75" x14ac:dyDescent="0.3">
      <c r="A24" s="280"/>
      <c r="B24" s="286"/>
    </row>
    <row r="25" spans="1:14" ht="18.75" x14ac:dyDescent="0.3">
      <c r="A25" s="287" t="s">
        <v>1</v>
      </c>
      <c r="B25" s="286"/>
    </row>
    <row r="26" spans="1:14" ht="26.25" customHeight="1" x14ac:dyDescent="0.4">
      <c r="A26" s="288" t="s">
        <v>4</v>
      </c>
      <c r="B26" s="701" t="s">
        <v>128</v>
      </c>
      <c r="C26" s="701"/>
    </row>
    <row r="27" spans="1:14" ht="26.25" customHeight="1" x14ac:dyDescent="0.4">
      <c r="A27" s="289" t="s">
        <v>48</v>
      </c>
      <c r="B27" s="699" t="s">
        <v>129</v>
      </c>
      <c r="C27" s="699"/>
    </row>
    <row r="28" spans="1:14" ht="27" customHeight="1" x14ac:dyDescent="0.4">
      <c r="A28" s="289" t="s">
        <v>6</v>
      </c>
      <c r="B28" s="290">
        <v>101.74</v>
      </c>
    </row>
    <row r="29" spans="1:14" s="14" customFormat="1" ht="27" customHeight="1" x14ac:dyDescent="0.4">
      <c r="A29" s="289" t="s">
        <v>49</v>
      </c>
      <c r="B29" s="291">
        <v>0</v>
      </c>
      <c r="C29" s="676" t="s">
        <v>50</v>
      </c>
      <c r="D29" s="677"/>
      <c r="E29" s="677"/>
      <c r="F29" s="677"/>
      <c r="G29" s="678"/>
      <c r="I29" s="292"/>
      <c r="J29" s="292"/>
      <c r="K29" s="292"/>
      <c r="L29" s="292"/>
    </row>
    <row r="30" spans="1:14" s="14" customFormat="1" ht="19.5" customHeight="1" x14ac:dyDescent="0.3">
      <c r="A30" s="289" t="s">
        <v>51</v>
      </c>
      <c r="B30" s="293">
        <f>B28-B29</f>
        <v>101.74</v>
      </c>
      <c r="C30" s="294"/>
      <c r="D30" s="294"/>
      <c r="E30" s="294"/>
      <c r="F30" s="294"/>
      <c r="G30" s="295"/>
      <c r="I30" s="292"/>
      <c r="J30" s="292"/>
      <c r="K30" s="292"/>
      <c r="L30" s="292"/>
    </row>
    <row r="31" spans="1:14" s="14" customFormat="1" ht="27" customHeight="1" x14ac:dyDescent="0.4">
      <c r="A31" s="289" t="s">
        <v>52</v>
      </c>
      <c r="B31" s="296">
        <v>1</v>
      </c>
      <c r="C31" s="679" t="s">
        <v>53</v>
      </c>
      <c r="D31" s="680"/>
      <c r="E31" s="680"/>
      <c r="F31" s="680"/>
      <c r="G31" s="680"/>
      <c r="H31" s="681"/>
      <c r="I31" s="292"/>
      <c r="J31" s="292"/>
      <c r="K31" s="292"/>
      <c r="L31" s="292"/>
    </row>
    <row r="32" spans="1:14" s="14" customFormat="1" ht="27" customHeight="1" x14ac:dyDescent="0.4">
      <c r="A32" s="289" t="s">
        <v>54</v>
      </c>
      <c r="B32" s="296">
        <v>1</v>
      </c>
      <c r="C32" s="679" t="s">
        <v>55</v>
      </c>
      <c r="D32" s="680"/>
      <c r="E32" s="680"/>
      <c r="F32" s="680"/>
      <c r="G32" s="680"/>
      <c r="H32" s="681"/>
      <c r="I32" s="292"/>
      <c r="J32" s="292"/>
      <c r="K32" s="292"/>
      <c r="L32" s="297"/>
      <c r="M32" s="297"/>
      <c r="N32" s="298"/>
    </row>
    <row r="33" spans="1:14" s="14" customFormat="1" ht="17.25" customHeight="1" x14ac:dyDescent="0.3">
      <c r="A33" s="289"/>
      <c r="B33" s="299"/>
      <c r="C33" s="300"/>
      <c r="D33" s="300"/>
      <c r="E33" s="300"/>
      <c r="F33" s="300"/>
      <c r="G33" s="300"/>
      <c r="H33" s="300"/>
      <c r="I33" s="292"/>
      <c r="J33" s="292"/>
      <c r="K33" s="292"/>
      <c r="L33" s="297"/>
      <c r="M33" s="297"/>
      <c r="N33" s="298"/>
    </row>
    <row r="34" spans="1:14" s="14" customFormat="1" ht="18.75" x14ac:dyDescent="0.3">
      <c r="A34" s="289" t="s">
        <v>56</v>
      </c>
      <c r="B34" s="301">
        <f>B31/B32</f>
        <v>1</v>
      </c>
      <c r="C34" s="279" t="s">
        <v>57</v>
      </c>
      <c r="D34" s="279"/>
      <c r="E34" s="279"/>
      <c r="F34" s="279"/>
      <c r="G34" s="279"/>
      <c r="I34" s="292"/>
      <c r="J34" s="292"/>
      <c r="K34" s="292"/>
      <c r="L34" s="297"/>
      <c r="M34" s="297"/>
      <c r="N34" s="298"/>
    </row>
    <row r="35" spans="1:14" s="14" customFormat="1" ht="19.5" customHeight="1" x14ac:dyDescent="0.3">
      <c r="A35" s="289"/>
      <c r="B35" s="293"/>
      <c r="G35" s="279"/>
      <c r="I35" s="292"/>
      <c r="J35" s="292"/>
      <c r="K35" s="292"/>
      <c r="L35" s="297"/>
      <c r="M35" s="297"/>
      <c r="N35" s="298"/>
    </row>
    <row r="36" spans="1:14" s="14" customFormat="1" ht="27" customHeight="1" x14ac:dyDescent="0.4">
      <c r="A36" s="302" t="s">
        <v>58</v>
      </c>
      <c r="B36" s="303">
        <v>50</v>
      </c>
      <c r="C36" s="279"/>
      <c r="D36" s="682" t="s">
        <v>59</v>
      </c>
      <c r="E36" s="700"/>
      <c r="F36" s="682" t="s">
        <v>60</v>
      </c>
      <c r="G36" s="683"/>
      <c r="J36" s="292"/>
      <c r="K36" s="292"/>
      <c r="L36" s="297"/>
      <c r="M36" s="297"/>
      <c r="N36" s="298"/>
    </row>
    <row r="37" spans="1:14" s="14" customFormat="1" ht="27" customHeight="1" x14ac:dyDescent="0.4">
      <c r="A37" s="304" t="s">
        <v>61</v>
      </c>
      <c r="B37" s="305">
        <v>5</v>
      </c>
      <c r="C37" s="306" t="s">
        <v>62</v>
      </c>
      <c r="D37" s="307" t="s">
        <v>63</v>
      </c>
      <c r="E37" s="308" t="s">
        <v>64</v>
      </c>
      <c r="F37" s="307" t="s">
        <v>63</v>
      </c>
      <c r="G37" s="309" t="s">
        <v>64</v>
      </c>
      <c r="I37" s="310" t="s">
        <v>65</v>
      </c>
      <c r="J37" s="292"/>
      <c r="K37" s="292"/>
      <c r="L37" s="297"/>
      <c r="M37" s="297"/>
      <c r="N37" s="298"/>
    </row>
    <row r="38" spans="1:14" s="14" customFormat="1" ht="26.25" customHeight="1" x14ac:dyDescent="0.4">
      <c r="A38" s="304" t="s">
        <v>66</v>
      </c>
      <c r="B38" s="305">
        <v>50</v>
      </c>
      <c r="C38" s="311">
        <v>1</v>
      </c>
      <c r="D38" s="312">
        <v>20744234</v>
      </c>
      <c r="E38" s="313">
        <f>IF(ISBLANK(D38),"-",$D$48/$D$45*D38)</f>
        <v>20369088.352182515</v>
      </c>
      <c r="F38" s="312">
        <v>20164065</v>
      </c>
      <c r="G38" s="314">
        <f>IF(ISBLANK(F38),"-",$D$48/$F$45*F38)</f>
        <v>20306568.374222949</v>
      </c>
      <c r="I38" s="315"/>
      <c r="J38" s="292"/>
      <c r="K38" s="292"/>
      <c r="L38" s="297"/>
      <c r="M38" s="297"/>
      <c r="N38" s="298"/>
    </row>
    <row r="39" spans="1:14" s="14" customFormat="1" ht="26.25" customHeight="1" x14ac:dyDescent="0.4">
      <c r="A39" s="304" t="s">
        <v>67</v>
      </c>
      <c r="B39" s="305">
        <v>1</v>
      </c>
      <c r="C39" s="316">
        <v>2</v>
      </c>
      <c r="D39" s="317">
        <v>20668709</v>
      </c>
      <c r="E39" s="318">
        <f>IF(ISBLANK(D39),"-",$D$48/$D$45*D39)</f>
        <v>20294929.171477236</v>
      </c>
      <c r="F39" s="317">
        <v>20098966</v>
      </c>
      <c r="G39" s="319">
        <f>IF(ISBLANK(F39),"-",$D$48/$F$45*F39)</f>
        <v>20241009.306912187</v>
      </c>
      <c r="I39" s="684">
        <f>ABS((F43/D43*D42)-F42)/D42</f>
        <v>4.1166700547699622E-3</v>
      </c>
      <c r="J39" s="292"/>
      <c r="K39" s="292"/>
      <c r="L39" s="297"/>
      <c r="M39" s="297"/>
      <c r="N39" s="298"/>
    </row>
    <row r="40" spans="1:14" ht="26.25" customHeight="1" x14ac:dyDescent="0.4">
      <c r="A40" s="304" t="s">
        <v>68</v>
      </c>
      <c r="B40" s="305">
        <v>1</v>
      </c>
      <c r="C40" s="316">
        <v>3</v>
      </c>
      <c r="D40" s="317">
        <v>20798695</v>
      </c>
      <c r="E40" s="318">
        <f>IF(ISBLANK(D40),"-",$D$48/$D$45*D40)</f>
        <v>20422564.461290628</v>
      </c>
      <c r="F40" s="317">
        <v>20138765</v>
      </c>
      <c r="G40" s="319">
        <f>IF(ISBLANK(F40),"-",$D$48/$F$45*F40)</f>
        <v>20281089.574195877</v>
      </c>
      <c r="I40" s="684"/>
      <c r="L40" s="297"/>
      <c r="M40" s="297"/>
      <c r="N40" s="320"/>
    </row>
    <row r="41" spans="1:14" ht="27" customHeight="1" x14ac:dyDescent="0.4">
      <c r="A41" s="304" t="s">
        <v>69</v>
      </c>
      <c r="B41" s="305">
        <v>1</v>
      </c>
      <c r="C41" s="321">
        <v>4</v>
      </c>
      <c r="D41" s="322"/>
      <c r="E41" s="323" t="str">
        <f>IF(ISBLANK(D41),"-",$D$48/$D$45*D41)</f>
        <v>-</v>
      </c>
      <c r="F41" s="322"/>
      <c r="G41" s="324" t="str">
        <f>IF(ISBLANK(F41),"-",$D$48/$F$45*F41)</f>
        <v>-</v>
      </c>
      <c r="I41" s="325"/>
      <c r="L41" s="297"/>
      <c r="M41" s="297"/>
      <c r="N41" s="320"/>
    </row>
    <row r="42" spans="1:14" ht="27" customHeight="1" x14ac:dyDescent="0.4">
      <c r="A42" s="304" t="s">
        <v>70</v>
      </c>
      <c r="B42" s="305">
        <v>1</v>
      </c>
      <c r="C42" s="326" t="s">
        <v>71</v>
      </c>
      <c r="D42" s="327">
        <f>AVERAGE(D38:D41)</f>
        <v>20737212.666666668</v>
      </c>
      <c r="E42" s="328">
        <f>AVERAGE(E38:E41)</f>
        <v>20362193.994983461</v>
      </c>
      <c r="F42" s="327">
        <f>AVERAGE(F38:F41)</f>
        <v>20133932</v>
      </c>
      <c r="G42" s="329">
        <f>AVERAGE(G38:G41)</f>
        <v>20276222.418443669</v>
      </c>
      <c r="H42" s="330"/>
    </row>
    <row r="43" spans="1:14" ht="26.25" customHeight="1" x14ac:dyDescent="0.4">
      <c r="A43" s="304" t="s">
        <v>72</v>
      </c>
      <c r="B43" s="305">
        <v>1</v>
      </c>
      <c r="C43" s="331" t="s">
        <v>73</v>
      </c>
      <c r="D43" s="332">
        <v>30.03</v>
      </c>
      <c r="E43" s="320"/>
      <c r="F43" s="332">
        <v>29.28</v>
      </c>
      <c r="H43" s="330"/>
    </row>
    <row r="44" spans="1:14" ht="26.25" customHeight="1" x14ac:dyDescent="0.4">
      <c r="A44" s="304" t="s">
        <v>74</v>
      </c>
      <c r="B44" s="305">
        <v>1</v>
      </c>
      <c r="C44" s="333" t="s">
        <v>75</v>
      </c>
      <c r="D44" s="334">
        <f>D43*$B$34</f>
        <v>30.03</v>
      </c>
      <c r="E44" s="335"/>
      <c r="F44" s="334">
        <f>F43*$B$34</f>
        <v>29.28</v>
      </c>
      <c r="H44" s="330"/>
    </row>
    <row r="45" spans="1:14" ht="19.5" customHeight="1" x14ac:dyDescent="0.3">
      <c r="A45" s="304" t="s">
        <v>76</v>
      </c>
      <c r="B45" s="336">
        <f>(B44/B43)*(B42/B41)*(B40/B39)*(B38/B37)*B36</f>
        <v>500</v>
      </c>
      <c r="C45" s="333" t="s">
        <v>77</v>
      </c>
      <c r="D45" s="337">
        <f>D44*$B$30/100</f>
        <v>30.552522</v>
      </c>
      <c r="E45" s="338"/>
      <c r="F45" s="337">
        <f>F44*$B$30/100</f>
        <v>29.789472</v>
      </c>
      <c r="H45" s="330"/>
    </row>
    <row r="46" spans="1:14" ht="19.5" customHeight="1" x14ac:dyDescent="0.3">
      <c r="A46" s="670" t="s">
        <v>78</v>
      </c>
      <c r="B46" s="671"/>
      <c r="C46" s="333" t="s">
        <v>79</v>
      </c>
      <c r="D46" s="339">
        <f>D45/$B$45</f>
        <v>6.1105043999999997E-2</v>
      </c>
      <c r="E46" s="340"/>
      <c r="F46" s="341">
        <f>F45/$B$45</f>
        <v>5.9578944000000002E-2</v>
      </c>
      <c r="H46" s="330"/>
    </row>
    <row r="47" spans="1:14" ht="27" customHeight="1" x14ac:dyDescent="0.4">
      <c r="A47" s="672"/>
      <c r="B47" s="673"/>
      <c r="C47" s="342" t="s">
        <v>80</v>
      </c>
      <c r="D47" s="343">
        <v>0.06</v>
      </c>
      <c r="E47" s="344"/>
      <c r="F47" s="340"/>
      <c r="H47" s="330"/>
    </row>
    <row r="48" spans="1:14" ht="18.75" x14ac:dyDescent="0.3">
      <c r="C48" s="345" t="s">
        <v>81</v>
      </c>
      <c r="D48" s="337">
        <f>D47*$B$45</f>
        <v>30</v>
      </c>
      <c r="F48" s="346"/>
      <c r="H48" s="330"/>
    </row>
    <row r="49" spans="1:12" ht="19.5" customHeight="1" x14ac:dyDescent="0.3">
      <c r="C49" s="347" t="s">
        <v>82</v>
      </c>
      <c r="D49" s="348">
        <f>D48/B34</f>
        <v>30</v>
      </c>
      <c r="F49" s="346"/>
      <c r="H49" s="330"/>
    </row>
    <row r="50" spans="1:12" ht="18.75" x14ac:dyDescent="0.3">
      <c r="C50" s="302" t="s">
        <v>83</v>
      </c>
      <c r="D50" s="349">
        <f>AVERAGE(E38:E41,G38:G41)</f>
        <v>20319208.206713565</v>
      </c>
      <c r="F50" s="350"/>
      <c r="H50" s="330"/>
    </row>
    <row r="51" spans="1:12" ht="18.75" x14ac:dyDescent="0.3">
      <c r="C51" s="304" t="s">
        <v>84</v>
      </c>
      <c r="D51" s="351">
        <f>STDEV(E38:E41,G38:G41)/D50</f>
        <v>3.2263018333348356E-3</v>
      </c>
      <c r="F51" s="350"/>
      <c r="H51" s="330"/>
    </row>
    <row r="52" spans="1:12" ht="19.5" customHeight="1" x14ac:dyDescent="0.3">
      <c r="C52" s="352" t="s">
        <v>20</v>
      </c>
      <c r="D52" s="353">
        <f>COUNT(E38:E41,G38:G41)</f>
        <v>6</v>
      </c>
      <c r="F52" s="350"/>
    </row>
    <row r="54" spans="1:12" ht="18.75" x14ac:dyDescent="0.3">
      <c r="A54" s="354" t="s">
        <v>1</v>
      </c>
      <c r="B54" s="355" t="s">
        <v>85</v>
      </c>
    </row>
    <row r="55" spans="1:12" ht="18.75" x14ac:dyDescent="0.3">
      <c r="A55" s="279" t="s">
        <v>86</v>
      </c>
      <c r="B55" s="356" t="str">
        <f>B21</f>
        <v>Each film coated tablet contains:
Efavirens USP 600 mg
Lamivudine USP 300 mg
Tenofovir Disproxil Fumarate 300 mg equivalent to Tenofovir Disproxil 245 mg</v>
      </c>
    </row>
    <row r="56" spans="1:12" ht="26.25" customHeight="1" x14ac:dyDescent="0.4">
      <c r="A56" s="357" t="s">
        <v>87</v>
      </c>
      <c r="B56" s="358">
        <v>300</v>
      </c>
      <c r="C56" s="279" t="str">
        <f>B20</f>
        <v>Efavirenz, Tenofovir Disproxil Fumarate, Lamivudine</v>
      </c>
      <c r="H56" s="359"/>
    </row>
    <row r="57" spans="1:12" ht="18.75" x14ac:dyDescent="0.3">
      <c r="A57" s="356" t="s">
        <v>88</v>
      </c>
      <c r="B57" s="448">
        <f>Uniformity!C46</f>
        <v>1740.789</v>
      </c>
      <c r="H57" s="359"/>
    </row>
    <row r="58" spans="1:12" ht="19.5" customHeight="1" x14ac:dyDescent="0.3">
      <c r="H58" s="359"/>
    </row>
    <row r="59" spans="1:12" s="14" customFormat="1" ht="27" customHeight="1" x14ac:dyDescent="0.4">
      <c r="A59" s="302" t="s">
        <v>89</v>
      </c>
      <c r="B59" s="303">
        <v>100</v>
      </c>
      <c r="C59" s="279"/>
      <c r="D59" s="360" t="s">
        <v>90</v>
      </c>
      <c r="E59" s="361" t="s">
        <v>62</v>
      </c>
      <c r="F59" s="361" t="s">
        <v>63</v>
      </c>
      <c r="G59" s="361" t="s">
        <v>91</v>
      </c>
      <c r="H59" s="306" t="s">
        <v>92</v>
      </c>
      <c r="L59" s="292"/>
    </row>
    <row r="60" spans="1:12" s="14" customFormat="1" ht="26.25" customHeight="1" x14ac:dyDescent="0.4">
      <c r="A60" s="304" t="s">
        <v>93</v>
      </c>
      <c r="B60" s="305">
        <v>2</v>
      </c>
      <c r="C60" s="687" t="s">
        <v>94</v>
      </c>
      <c r="D60" s="690">
        <v>1739.48</v>
      </c>
      <c r="E60" s="362">
        <v>1</v>
      </c>
      <c r="F60" s="363">
        <v>21432548</v>
      </c>
      <c r="G60" s="449">
        <f>IF(ISBLANK(F60),"-",(F60/$D$50*$D$47*$B$68)*($B$57/$D$60))</f>
        <v>316.67587067911046</v>
      </c>
      <c r="H60" s="364">
        <f t="shared" ref="H60:H70" si="0">IF(ISBLANK(F60),"-",G60/$B$56)</f>
        <v>1.0555862355970349</v>
      </c>
      <c r="L60" s="292"/>
    </row>
    <row r="61" spans="1:12" s="14" customFormat="1" ht="26.25" customHeight="1" x14ac:dyDescent="0.4">
      <c r="A61" s="304" t="s">
        <v>95</v>
      </c>
      <c r="B61" s="305">
        <v>100</v>
      </c>
      <c r="C61" s="688"/>
      <c r="D61" s="691"/>
      <c r="E61" s="365">
        <v>2</v>
      </c>
      <c r="F61" s="317">
        <v>21400778</v>
      </c>
      <c r="G61" s="450">
        <f>IF(ISBLANK(F61),"-",(F61/$D$50*$D$47*$B$68)*($B$57/$D$60))</f>
        <v>316.20645414443266</v>
      </c>
      <c r="H61" s="366">
        <f t="shared" si="0"/>
        <v>1.0540215138147755</v>
      </c>
      <c r="L61" s="292"/>
    </row>
    <row r="62" spans="1:12" s="14" customFormat="1" ht="26.25" customHeight="1" x14ac:dyDescent="0.4">
      <c r="A62" s="304" t="s">
        <v>96</v>
      </c>
      <c r="B62" s="305">
        <v>1</v>
      </c>
      <c r="C62" s="688"/>
      <c r="D62" s="691"/>
      <c r="E62" s="365">
        <v>3</v>
      </c>
      <c r="F62" s="367">
        <v>21366588</v>
      </c>
      <c r="G62" s="450">
        <f>IF(ISBLANK(F62),"-",(F62/$D$50*$D$47*$B$68)*($B$57/$D$60))</f>
        <v>315.70128098356923</v>
      </c>
      <c r="H62" s="366">
        <f t="shared" si="0"/>
        <v>1.0523376032785641</v>
      </c>
      <c r="L62" s="292"/>
    </row>
    <row r="63" spans="1:12" ht="27" customHeight="1" x14ac:dyDescent="0.4">
      <c r="A63" s="304" t="s">
        <v>97</v>
      </c>
      <c r="B63" s="305">
        <v>1</v>
      </c>
      <c r="C63" s="698"/>
      <c r="D63" s="692"/>
      <c r="E63" s="368">
        <v>4</v>
      </c>
      <c r="F63" s="369"/>
      <c r="G63" s="450"/>
      <c r="H63" s="366"/>
    </row>
    <row r="64" spans="1:12" ht="26.25" customHeight="1" x14ac:dyDescent="0.4">
      <c r="A64" s="304" t="s">
        <v>98</v>
      </c>
      <c r="B64" s="305">
        <v>1</v>
      </c>
      <c r="C64" s="687" t="s">
        <v>99</v>
      </c>
      <c r="D64" s="690">
        <v>1741.08</v>
      </c>
      <c r="E64" s="362">
        <v>1</v>
      </c>
      <c r="F64" s="363">
        <v>21730790</v>
      </c>
      <c r="G64" s="451">
        <f>IF(ISBLANK(F64),"-",(F64/$D$50*$D$47*$B$68)*($B$57/$D$64))</f>
        <v>320.78746985662667</v>
      </c>
      <c r="H64" s="370">
        <f t="shared" si="0"/>
        <v>1.0692915661887556</v>
      </c>
    </row>
    <row r="65" spans="1:8" ht="26.25" customHeight="1" x14ac:dyDescent="0.4">
      <c r="A65" s="304" t="s">
        <v>100</v>
      </c>
      <c r="B65" s="305">
        <v>1</v>
      </c>
      <c r="C65" s="688"/>
      <c r="D65" s="691"/>
      <c r="E65" s="365">
        <v>2</v>
      </c>
      <c r="F65" s="317">
        <v>21756996</v>
      </c>
      <c r="G65" s="452">
        <f>IF(ISBLANK(F65),"-",(F65/$D$50*$D$47*$B$68)*($B$57/$D$64))</f>
        <v>321.17431987151622</v>
      </c>
      <c r="H65" s="371">
        <f t="shared" si="0"/>
        <v>1.0705810662383874</v>
      </c>
    </row>
    <row r="66" spans="1:8" ht="26.25" customHeight="1" x14ac:dyDescent="0.4">
      <c r="A66" s="304" t="s">
        <v>101</v>
      </c>
      <c r="B66" s="305">
        <v>1</v>
      </c>
      <c r="C66" s="688"/>
      <c r="D66" s="691"/>
      <c r="E66" s="365">
        <v>3</v>
      </c>
      <c r="F66" s="317">
        <v>21692979</v>
      </c>
      <c r="G66" s="452">
        <f>IF(ISBLANK(F66),"-",(F66/$D$50*$D$47*$B$68)*($B$57/$D$64))</f>
        <v>320.22930814125647</v>
      </c>
      <c r="H66" s="371">
        <f t="shared" si="0"/>
        <v>1.0674310271375216</v>
      </c>
    </row>
    <row r="67" spans="1:8" ht="27" customHeight="1" x14ac:dyDescent="0.4">
      <c r="A67" s="304" t="s">
        <v>102</v>
      </c>
      <c r="B67" s="305">
        <v>1</v>
      </c>
      <c r="C67" s="698"/>
      <c r="D67" s="692"/>
      <c r="E67" s="368">
        <v>4</v>
      </c>
      <c r="F67" s="369"/>
      <c r="G67" s="453"/>
      <c r="H67" s="372"/>
    </row>
    <row r="68" spans="1:8" ht="26.25" customHeight="1" x14ac:dyDescent="0.4">
      <c r="A68" s="304" t="s">
        <v>103</v>
      </c>
      <c r="B68" s="373">
        <f>(B67/B66)*(B65/B64)*(B63/B62)*(B61/B60)*B59</f>
        <v>5000</v>
      </c>
      <c r="C68" s="687" t="s">
        <v>104</v>
      </c>
      <c r="D68" s="690">
        <v>1738.41</v>
      </c>
      <c r="E68" s="362">
        <v>1</v>
      </c>
      <c r="F68" s="363">
        <v>21642654</v>
      </c>
      <c r="G68" s="451">
        <f>IF(ISBLANK(F68),"-",(F68/$D$50*$D$47*$B$68)*($B$57/$D$68))</f>
        <v>319.97711096072021</v>
      </c>
      <c r="H68" s="366">
        <f t="shared" si="0"/>
        <v>1.0665903698690673</v>
      </c>
    </row>
    <row r="69" spans="1:8" ht="27" customHeight="1" x14ac:dyDescent="0.4">
      <c r="A69" s="352" t="s">
        <v>105</v>
      </c>
      <c r="B69" s="374">
        <f>(D47*B68)/B56*B57</f>
        <v>1740.789</v>
      </c>
      <c r="C69" s="688"/>
      <c r="D69" s="691"/>
      <c r="E69" s="365">
        <v>2</v>
      </c>
      <c r="F69" s="317">
        <v>21421886</v>
      </c>
      <c r="G69" s="452">
        <f>IF(ISBLANK(F69),"-",(F69/$D$50*$D$47*$B$68)*($B$57/$D$68))</f>
        <v>316.71315327639104</v>
      </c>
      <c r="H69" s="366">
        <f t="shared" si="0"/>
        <v>1.0557105109213034</v>
      </c>
    </row>
    <row r="70" spans="1:8" ht="26.25" customHeight="1" x14ac:dyDescent="0.4">
      <c r="A70" s="693" t="s">
        <v>78</v>
      </c>
      <c r="B70" s="694"/>
      <c r="C70" s="688"/>
      <c r="D70" s="691"/>
      <c r="E70" s="365">
        <v>3</v>
      </c>
      <c r="F70" s="317">
        <v>21573684</v>
      </c>
      <c r="G70" s="452">
        <f>IF(ISBLANK(F70),"-",(F70/$D$50*$D$47*$B$68)*($B$57/$D$68))</f>
        <v>318.9574198755621</v>
      </c>
      <c r="H70" s="366">
        <f t="shared" si="0"/>
        <v>1.0631913995852069</v>
      </c>
    </row>
    <row r="71" spans="1:8" ht="27" customHeight="1" x14ac:dyDescent="0.4">
      <c r="A71" s="695"/>
      <c r="B71" s="696"/>
      <c r="C71" s="689"/>
      <c r="D71" s="692"/>
      <c r="E71" s="368">
        <v>4</v>
      </c>
      <c r="F71" s="369"/>
      <c r="G71" s="453"/>
      <c r="H71" s="375"/>
    </row>
    <row r="72" spans="1:8" ht="26.25" customHeight="1" x14ac:dyDescent="0.4">
      <c r="A72" s="376"/>
      <c r="B72" s="376"/>
      <c r="C72" s="376"/>
      <c r="D72" s="376"/>
      <c r="E72" s="376"/>
      <c r="F72" s="378" t="s">
        <v>71</v>
      </c>
      <c r="G72" s="458">
        <f>AVERAGE(G60:G71)</f>
        <v>318.49137642102056</v>
      </c>
      <c r="H72" s="379">
        <f>AVERAGE(H60:H71)</f>
        <v>1.061637921403402</v>
      </c>
    </row>
    <row r="73" spans="1:8" ht="26.25" customHeight="1" x14ac:dyDescent="0.4">
      <c r="C73" s="376"/>
      <c r="D73" s="376"/>
      <c r="E73" s="376"/>
      <c r="F73" s="380" t="s">
        <v>84</v>
      </c>
      <c r="G73" s="454">
        <f>STDEV(G60:G71)/G72</f>
        <v>6.7868848704747122E-3</v>
      </c>
      <c r="H73" s="454">
        <f>STDEV(H60:H71)/H72</f>
        <v>6.7868848704747365E-3</v>
      </c>
    </row>
    <row r="74" spans="1:8" ht="27" customHeight="1" x14ac:dyDescent="0.4">
      <c r="A74" s="376"/>
      <c r="B74" s="376"/>
      <c r="C74" s="377"/>
      <c r="D74" s="377"/>
      <c r="E74" s="381"/>
      <c r="F74" s="382" t="s">
        <v>20</v>
      </c>
      <c r="G74" s="383">
        <f>COUNT(G60:G71)</f>
        <v>9</v>
      </c>
      <c r="H74" s="383">
        <f>COUNT(H60:H71)</f>
        <v>9</v>
      </c>
    </row>
    <row r="76" spans="1:8" ht="26.25" customHeight="1" x14ac:dyDescent="0.4">
      <c r="A76" s="288" t="s">
        <v>106</v>
      </c>
      <c r="B76" s="384" t="s">
        <v>107</v>
      </c>
      <c r="C76" s="674" t="str">
        <f>B20</f>
        <v>Efavirenz, Tenofovir Disproxil Fumarate, Lamivudine</v>
      </c>
      <c r="D76" s="674"/>
      <c r="E76" s="385" t="s">
        <v>108</v>
      </c>
      <c r="F76" s="385"/>
      <c r="G76" s="386">
        <f>H72</f>
        <v>1.061637921403402</v>
      </c>
      <c r="H76" s="387"/>
    </row>
    <row r="77" spans="1:8" ht="18.75" x14ac:dyDescent="0.3">
      <c r="A77" s="287" t="s">
        <v>109</v>
      </c>
      <c r="B77" s="287" t="s">
        <v>110</v>
      </c>
    </row>
    <row r="78" spans="1:8" ht="18.75" x14ac:dyDescent="0.3">
      <c r="A78" s="287"/>
      <c r="B78" s="287"/>
    </row>
    <row r="79" spans="1:8" ht="26.25" customHeight="1" x14ac:dyDescent="0.4">
      <c r="A79" s="288" t="s">
        <v>4</v>
      </c>
      <c r="B79" s="697" t="str">
        <f>B26</f>
        <v>Lamivudine</v>
      </c>
      <c r="C79" s="697"/>
    </row>
    <row r="80" spans="1:8" ht="26.25" customHeight="1" x14ac:dyDescent="0.4">
      <c r="A80" s="289" t="s">
        <v>48</v>
      </c>
      <c r="B80" s="697" t="str">
        <f>B27</f>
        <v>WRS PN 15-105</v>
      </c>
      <c r="C80" s="697"/>
    </row>
    <row r="81" spans="1:12" ht="27" customHeight="1" x14ac:dyDescent="0.4">
      <c r="A81" s="289" t="s">
        <v>6</v>
      </c>
      <c r="B81" s="388">
        <f>B28</f>
        <v>101.74</v>
      </c>
    </row>
    <row r="82" spans="1:12" s="14" customFormat="1" ht="27" customHeight="1" x14ac:dyDescent="0.4">
      <c r="A82" s="289" t="s">
        <v>49</v>
      </c>
      <c r="B82" s="291">
        <v>0</v>
      </c>
      <c r="C82" s="676" t="s">
        <v>50</v>
      </c>
      <c r="D82" s="677"/>
      <c r="E82" s="677"/>
      <c r="F82" s="677"/>
      <c r="G82" s="678"/>
      <c r="I82" s="292"/>
      <c r="J82" s="292"/>
      <c r="K82" s="292"/>
      <c r="L82" s="292"/>
    </row>
    <row r="83" spans="1:12" s="14" customFormat="1" ht="19.5" customHeight="1" x14ac:dyDescent="0.3">
      <c r="A83" s="289" t="s">
        <v>51</v>
      </c>
      <c r="B83" s="293">
        <f>B81-B82</f>
        <v>101.74</v>
      </c>
      <c r="C83" s="294"/>
      <c r="D83" s="294"/>
      <c r="E83" s="294"/>
      <c r="F83" s="294"/>
      <c r="G83" s="295"/>
      <c r="I83" s="292"/>
      <c r="J83" s="292"/>
      <c r="K83" s="292"/>
      <c r="L83" s="292"/>
    </row>
    <row r="84" spans="1:12" s="14" customFormat="1" ht="27" customHeight="1" x14ac:dyDescent="0.4">
      <c r="A84" s="289" t="s">
        <v>52</v>
      </c>
      <c r="B84" s="296">
        <v>1</v>
      </c>
      <c r="C84" s="679" t="s">
        <v>111</v>
      </c>
      <c r="D84" s="680"/>
      <c r="E84" s="680"/>
      <c r="F84" s="680"/>
      <c r="G84" s="680"/>
      <c r="H84" s="681"/>
      <c r="I84" s="292"/>
      <c r="J84" s="292"/>
      <c r="K84" s="292"/>
      <c r="L84" s="292"/>
    </row>
    <row r="85" spans="1:12" s="14" customFormat="1" ht="27" customHeight="1" x14ac:dyDescent="0.4">
      <c r="A85" s="289" t="s">
        <v>54</v>
      </c>
      <c r="B85" s="296">
        <v>1</v>
      </c>
      <c r="C85" s="679" t="s">
        <v>112</v>
      </c>
      <c r="D85" s="680"/>
      <c r="E85" s="680"/>
      <c r="F85" s="680"/>
      <c r="G85" s="680"/>
      <c r="H85" s="681"/>
      <c r="I85" s="292"/>
      <c r="J85" s="292"/>
      <c r="K85" s="292"/>
      <c r="L85" s="292"/>
    </row>
    <row r="86" spans="1:12" s="14" customFormat="1" ht="18.75" x14ac:dyDescent="0.3">
      <c r="A86" s="289"/>
      <c r="B86" s="299"/>
      <c r="C86" s="300"/>
      <c r="D86" s="300"/>
      <c r="E86" s="300"/>
      <c r="F86" s="300"/>
      <c r="G86" s="300"/>
      <c r="H86" s="300"/>
      <c r="I86" s="292"/>
      <c r="J86" s="292"/>
      <c r="K86" s="292"/>
      <c r="L86" s="292"/>
    </row>
    <row r="87" spans="1:12" s="14" customFormat="1" ht="18.75" x14ac:dyDescent="0.3">
      <c r="A87" s="289" t="s">
        <v>56</v>
      </c>
      <c r="B87" s="301">
        <f>B84/B85</f>
        <v>1</v>
      </c>
      <c r="C87" s="279" t="s">
        <v>57</v>
      </c>
      <c r="D87" s="279"/>
      <c r="E87" s="279"/>
      <c r="F87" s="279"/>
      <c r="G87" s="279"/>
      <c r="I87" s="292"/>
      <c r="J87" s="292"/>
      <c r="K87" s="292"/>
      <c r="L87" s="292"/>
    </row>
    <row r="88" spans="1:12" ht="19.5" customHeight="1" x14ac:dyDescent="0.3">
      <c r="A88" s="287"/>
      <c r="B88" s="287"/>
    </row>
    <row r="89" spans="1:12" ht="27" customHeight="1" x14ac:dyDescent="0.4">
      <c r="A89" s="302" t="s">
        <v>58</v>
      </c>
      <c r="B89" s="303">
        <v>50</v>
      </c>
      <c r="D89" s="389" t="s">
        <v>59</v>
      </c>
      <c r="E89" s="390"/>
      <c r="F89" s="682" t="s">
        <v>60</v>
      </c>
      <c r="G89" s="683"/>
    </row>
    <row r="90" spans="1:12" ht="27" customHeight="1" x14ac:dyDescent="0.4">
      <c r="A90" s="304" t="s">
        <v>61</v>
      </c>
      <c r="B90" s="305">
        <v>1</v>
      </c>
      <c r="C90" s="391" t="s">
        <v>62</v>
      </c>
      <c r="D90" s="307" t="s">
        <v>63</v>
      </c>
      <c r="E90" s="308" t="s">
        <v>64</v>
      </c>
      <c r="F90" s="307" t="s">
        <v>63</v>
      </c>
      <c r="G90" s="392" t="s">
        <v>64</v>
      </c>
      <c r="I90" s="310" t="s">
        <v>65</v>
      </c>
    </row>
    <row r="91" spans="1:12" ht="26.25" customHeight="1" x14ac:dyDescent="0.4">
      <c r="A91" s="304" t="s">
        <v>66</v>
      </c>
      <c r="B91" s="305">
        <v>1</v>
      </c>
      <c r="C91" s="393">
        <v>1</v>
      </c>
      <c r="D91" s="655">
        <v>123453836</v>
      </c>
      <c r="E91" s="313">
        <f>IF(ISBLANK(D91),"-",$D$101/$D$98*D91)</f>
        <v>108020009.11148974</v>
      </c>
      <c r="F91" s="655">
        <v>125450795</v>
      </c>
      <c r="G91" s="314">
        <f>IF(ISBLANK(F91),"-",$D$101/$F$98*F91)</f>
        <v>105449215.85618898</v>
      </c>
      <c r="I91" s="315"/>
    </row>
    <row r="92" spans="1:12" ht="26.25" customHeight="1" x14ac:dyDescent="0.4">
      <c r="A92" s="304" t="s">
        <v>67</v>
      </c>
      <c r="B92" s="305">
        <v>1</v>
      </c>
      <c r="C92" s="377">
        <v>2</v>
      </c>
      <c r="D92" s="655">
        <v>123152434</v>
      </c>
      <c r="E92" s="318">
        <f>IF(ISBLANK(D92),"-",$D$101/$D$98*D92)</f>
        <v>107756287.48208472</v>
      </c>
      <c r="F92" s="655">
        <v>126911317</v>
      </c>
      <c r="G92" s="319">
        <f>IF(ISBLANK(F92),"-",$D$101/$F$98*F92)</f>
        <v>106676875.67006831</v>
      </c>
      <c r="I92" s="684">
        <f>ABS((F96/D96*D95)-F95)/D95</f>
        <v>1.2367580207362146E-2</v>
      </c>
    </row>
    <row r="93" spans="1:12" ht="26.25" customHeight="1" x14ac:dyDescent="0.4">
      <c r="A93" s="304" t="s">
        <v>68</v>
      </c>
      <c r="B93" s="305">
        <v>1</v>
      </c>
      <c r="C93" s="377">
        <v>3</v>
      </c>
      <c r="D93" s="656">
        <v>123439191</v>
      </c>
      <c r="E93" s="318">
        <f>IF(ISBLANK(D93),"-",$D$101/$D$98*D93)</f>
        <v>108007194.98529737</v>
      </c>
      <c r="F93" s="656">
        <v>128259979</v>
      </c>
      <c r="G93" s="319">
        <f>IF(ISBLANK(F93),"-",$D$101/$F$98*F93)</f>
        <v>107810510.17876184</v>
      </c>
      <c r="I93" s="684"/>
    </row>
    <row r="94" spans="1:12" ht="27" customHeight="1" x14ac:dyDescent="0.4">
      <c r="A94" s="304" t="s">
        <v>69</v>
      </c>
      <c r="B94" s="305">
        <v>1</v>
      </c>
      <c r="C94" s="394">
        <v>4</v>
      </c>
      <c r="D94" s="646"/>
      <c r="E94" s="323" t="str">
        <f>IF(ISBLANK(D94),"-",$D$101/$D$98*D94)</f>
        <v>-</v>
      </c>
      <c r="F94" s="395"/>
      <c r="G94" s="324" t="str">
        <f>IF(ISBLANK(F94),"-",$D$101/$F$98*F94)</f>
        <v>-</v>
      </c>
      <c r="I94" s="325"/>
    </row>
    <row r="95" spans="1:12" ht="27" customHeight="1" x14ac:dyDescent="0.4">
      <c r="A95" s="304" t="s">
        <v>70</v>
      </c>
      <c r="B95" s="305">
        <v>1</v>
      </c>
      <c r="C95" s="396" t="s">
        <v>71</v>
      </c>
      <c r="D95" s="397">
        <f>AVERAGE(D91:D94)</f>
        <v>123348487</v>
      </c>
      <c r="E95" s="328">
        <f>AVERAGE(E91:E94)</f>
        <v>107927830.52629061</v>
      </c>
      <c r="F95" s="398">
        <f>AVERAGE(F91:F94)</f>
        <v>126874030.33333333</v>
      </c>
      <c r="G95" s="399">
        <f>AVERAGE(G91:G94)</f>
        <v>106645533.90167303</v>
      </c>
    </row>
    <row r="96" spans="1:12" ht="26.25" customHeight="1" x14ac:dyDescent="0.4">
      <c r="A96" s="304" t="s">
        <v>72</v>
      </c>
      <c r="B96" s="290">
        <v>1</v>
      </c>
      <c r="C96" s="400" t="s">
        <v>113</v>
      </c>
      <c r="D96" s="401">
        <v>16.850000000000001</v>
      </c>
      <c r="E96" s="320"/>
      <c r="F96" s="332">
        <v>17.54</v>
      </c>
    </row>
    <row r="97" spans="1:10" ht="26.25" customHeight="1" x14ac:dyDescent="0.4">
      <c r="A97" s="304" t="s">
        <v>74</v>
      </c>
      <c r="B97" s="290">
        <v>1</v>
      </c>
      <c r="C97" s="402" t="s">
        <v>114</v>
      </c>
      <c r="D97" s="403">
        <f>D96*$B$87</f>
        <v>16.850000000000001</v>
      </c>
      <c r="E97" s="335"/>
      <c r="F97" s="334">
        <f>F96*$B$87</f>
        <v>17.54</v>
      </c>
    </row>
    <row r="98" spans="1:10" ht="19.5" customHeight="1" x14ac:dyDescent="0.3">
      <c r="A98" s="304" t="s">
        <v>76</v>
      </c>
      <c r="B98" s="404">
        <f>(B97/B96)*(B95/B94)*(B93/B92)*(B91/B90)*B89</f>
        <v>50</v>
      </c>
      <c r="C98" s="402" t="s">
        <v>115</v>
      </c>
      <c r="D98" s="405">
        <f>D97*$B$83/100</f>
        <v>17.143190000000001</v>
      </c>
      <c r="E98" s="338"/>
      <c r="F98" s="337">
        <f>F97*$B$83/100</f>
        <v>17.845195999999998</v>
      </c>
    </row>
    <row r="99" spans="1:10" ht="19.5" customHeight="1" x14ac:dyDescent="0.3">
      <c r="A99" s="670" t="s">
        <v>78</v>
      </c>
      <c r="B99" s="685"/>
      <c r="C99" s="402" t="s">
        <v>116</v>
      </c>
      <c r="D99" s="406">
        <f>D98/$B$98</f>
        <v>0.3428638</v>
      </c>
      <c r="E99" s="338"/>
      <c r="F99" s="341">
        <f>F98/$B$98</f>
        <v>0.35690391999999993</v>
      </c>
      <c r="G99" s="407"/>
      <c r="H99" s="330"/>
    </row>
    <row r="100" spans="1:10" ht="19.5" customHeight="1" x14ac:dyDescent="0.3">
      <c r="A100" s="672"/>
      <c r="B100" s="686"/>
      <c r="C100" s="402" t="s">
        <v>80</v>
      </c>
      <c r="D100" s="408">
        <f>$B$56/$B$116</f>
        <v>0.3</v>
      </c>
      <c r="F100" s="346"/>
      <c r="G100" s="409"/>
      <c r="H100" s="330"/>
    </row>
    <row r="101" spans="1:10" ht="18.75" x14ac:dyDescent="0.3">
      <c r="C101" s="402" t="s">
        <v>81</v>
      </c>
      <c r="D101" s="403">
        <f>D100*$B$98</f>
        <v>15</v>
      </c>
      <c r="F101" s="346"/>
      <c r="G101" s="407"/>
      <c r="H101" s="330"/>
    </row>
    <row r="102" spans="1:10" ht="19.5" customHeight="1" thickBot="1" x14ac:dyDescent="0.35">
      <c r="C102" s="410" t="s">
        <v>82</v>
      </c>
      <c r="D102" s="411">
        <f>D101/B34</f>
        <v>15</v>
      </c>
      <c r="F102" s="350"/>
      <c r="G102" s="407"/>
      <c r="H102" s="330"/>
      <c r="J102" s="412"/>
    </row>
    <row r="103" spans="1:10" ht="18.75" x14ac:dyDescent="0.3">
      <c r="C103" s="413" t="s">
        <v>117</v>
      </c>
      <c r="D103" s="414">
        <f>AVERAGE(E91:E94,G91:G94)</f>
        <v>107286682.21398182</v>
      </c>
      <c r="F103" s="350"/>
      <c r="G103" s="415"/>
      <c r="H103" s="330"/>
      <c r="J103" s="416"/>
    </row>
    <row r="104" spans="1:10" ht="18.75" x14ac:dyDescent="0.3">
      <c r="C104" s="380" t="s">
        <v>84</v>
      </c>
      <c r="D104" s="417">
        <f>STDEV(E91:E94,G91:G94)/D103</f>
        <v>9.5963534526229029E-3</v>
      </c>
      <c r="F104" s="350"/>
      <c r="G104" s="407"/>
      <c r="H104" s="330"/>
      <c r="J104" s="416"/>
    </row>
    <row r="105" spans="1:10" ht="19.5" customHeight="1" x14ac:dyDescent="0.3">
      <c r="C105" s="382" t="s">
        <v>20</v>
      </c>
      <c r="D105" s="418">
        <f>COUNT(E91:E94,G91:G94)</f>
        <v>6</v>
      </c>
      <c r="F105" s="350"/>
      <c r="G105" s="407"/>
      <c r="H105" s="330"/>
      <c r="J105" s="416"/>
    </row>
    <row r="106" spans="1:10" ht="19.5" customHeight="1" x14ac:dyDescent="0.3">
      <c r="A106" s="354"/>
      <c r="B106" s="354"/>
      <c r="C106" s="354"/>
      <c r="D106" s="354"/>
      <c r="E106" s="354"/>
    </row>
    <row r="107" spans="1:10" ht="26.25" customHeight="1" x14ac:dyDescent="0.4">
      <c r="A107" s="302" t="s">
        <v>118</v>
      </c>
      <c r="B107" s="303">
        <v>1000</v>
      </c>
      <c r="C107" s="419" t="s">
        <v>119</v>
      </c>
      <c r="D107" s="420" t="s">
        <v>63</v>
      </c>
      <c r="E107" s="421" t="s">
        <v>120</v>
      </c>
      <c r="F107" s="422" t="s">
        <v>121</v>
      </c>
    </row>
    <row r="108" spans="1:10" ht="26.25" customHeight="1" x14ac:dyDescent="0.4">
      <c r="A108" s="304" t="s">
        <v>122</v>
      </c>
      <c r="B108" s="305">
        <v>1</v>
      </c>
      <c r="C108" s="423">
        <v>1</v>
      </c>
      <c r="D108" s="424">
        <v>111747468</v>
      </c>
      <c r="E108" s="455">
        <f t="shared" ref="E108:E113" si="1">IF(ISBLANK(D108),"-",D108/$D$103*$D$100*$B$116)</f>
        <v>312.47345624069499</v>
      </c>
      <c r="F108" s="425">
        <f t="shared" ref="F108:F113" si="2">IF(ISBLANK(D108), "-", E108/$B$56)</f>
        <v>1.0415781874689833</v>
      </c>
    </row>
    <row r="109" spans="1:10" ht="26.25" customHeight="1" x14ac:dyDescent="0.4">
      <c r="A109" s="304" t="s">
        <v>95</v>
      </c>
      <c r="B109" s="305">
        <v>1</v>
      </c>
      <c r="C109" s="423">
        <v>2</v>
      </c>
      <c r="D109" s="424">
        <v>110046249</v>
      </c>
      <c r="E109" s="456">
        <f t="shared" si="1"/>
        <v>307.71642871903032</v>
      </c>
      <c r="F109" s="426">
        <f t="shared" si="2"/>
        <v>1.0257214290634344</v>
      </c>
    </row>
    <row r="110" spans="1:10" ht="26.25" customHeight="1" x14ac:dyDescent="0.4">
      <c r="A110" s="304" t="s">
        <v>96</v>
      </c>
      <c r="B110" s="305">
        <v>1</v>
      </c>
      <c r="C110" s="423">
        <v>3</v>
      </c>
      <c r="D110" s="424">
        <v>114018533</v>
      </c>
      <c r="E110" s="456">
        <f t="shared" si="1"/>
        <v>318.82391359420996</v>
      </c>
      <c r="F110" s="426">
        <f t="shared" si="2"/>
        <v>1.0627463786473665</v>
      </c>
    </row>
    <row r="111" spans="1:10" ht="26.25" customHeight="1" x14ac:dyDescent="0.4">
      <c r="A111" s="304" t="s">
        <v>97</v>
      </c>
      <c r="B111" s="305">
        <v>1</v>
      </c>
      <c r="C111" s="423">
        <v>4</v>
      </c>
      <c r="D111" s="424">
        <v>115604976</v>
      </c>
      <c r="E111" s="456">
        <f t="shared" si="1"/>
        <v>323.25999913790076</v>
      </c>
      <c r="F111" s="426">
        <f t="shared" si="2"/>
        <v>1.0775333304596693</v>
      </c>
    </row>
    <row r="112" spans="1:10" ht="26.25" customHeight="1" x14ac:dyDescent="0.4">
      <c r="A112" s="304" t="s">
        <v>98</v>
      </c>
      <c r="B112" s="305">
        <v>1</v>
      </c>
      <c r="C112" s="423">
        <v>5</v>
      </c>
      <c r="D112" s="424">
        <v>112148959</v>
      </c>
      <c r="E112" s="456">
        <f t="shared" si="1"/>
        <v>313.59612400816093</v>
      </c>
      <c r="F112" s="426">
        <f t="shared" si="2"/>
        <v>1.0453204133605365</v>
      </c>
    </row>
    <row r="113" spans="1:10" ht="26.25" customHeight="1" x14ac:dyDescent="0.4">
      <c r="A113" s="304" t="s">
        <v>100</v>
      </c>
      <c r="B113" s="305">
        <v>1</v>
      </c>
      <c r="C113" s="427">
        <v>6</v>
      </c>
      <c r="D113" s="428">
        <v>108961140</v>
      </c>
      <c r="E113" s="457">
        <f t="shared" si="1"/>
        <v>304.68219657313614</v>
      </c>
      <c r="F113" s="429">
        <f t="shared" si="2"/>
        <v>1.0156073219104538</v>
      </c>
    </row>
    <row r="114" spans="1:10" ht="26.25" customHeight="1" x14ac:dyDescent="0.4">
      <c r="A114" s="304" t="s">
        <v>101</v>
      </c>
      <c r="B114" s="305">
        <v>1</v>
      </c>
      <c r="C114" s="423"/>
      <c r="D114" s="377"/>
      <c r="E114" s="278"/>
      <c r="F114" s="430"/>
    </row>
    <row r="115" spans="1:10" ht="26.25" customHeight="1" x14ac:dyDescent="0.4">
      <c r="A115" s="304" t="s">
        <v>102</v>
      </c>
      <c r="B115" s="305">
        <v>1</v>
      </c>
      <c r="C115" s="423"/>
      <c r="D115" s="431" t="s">
        <v>71</v>
      </c>
      <c r="E115" s="459">
        <f>AVERAGE(E108:E113)</f>
        <v>313.42535304552217</v>
      </c>
      <c r="F115" s="432">
        <f>AVERAGE(F108:F113)</f>
        <v>1.0447511768184075</v>
      </c>
    </row>
    <row r="116" spans="1:10" ht="27" customHeight="1" x14ac:dyDescent="0.4">
      <c r="A116" s="304" t="s">
        <v>103</v>
      </c>
      <c r="B116" s="336">
        <f>(B115/B114)*(B113/B112)*(B111/B110)*(B109/B108)*B107</f>
        <v>1000</v>
      </c>
      <c r="C116" s="433"/>
      <c r="D116" s="396" t="s">
        <v>84</v>
      </c>
      <c r="E116" s="434">
        <f>STDEV(E108:E113)/E115</f>
        <v>2.1912131615249065E-2</v>
      </c>
      <c r="F116" s="434">
        <f>STDEV(F108:F113)/F115</f>
        <v>2.1912131615249075E-2</v>
      </c>
      <c r="I116" s="278"/>
    </row>
    <row r="117" spans="1:10" ht="27" customHeight="1" x14ac:dyDescent="0.4">
      <c r="A117" s="670" t="s">
        <v>78</v>
      </c>
      <c r="B117" s="671"/>
      <c r="C117" s="435"/>
      <c r="D117" s="436" t="s">
        <v>20</v>
      </c>
      <c r="E117" s="437">
        <f>COUNT(E108:E113)</f>
        <v>6</v>
      </c>
      <c r="F117" s="437">
        <f>COUNT(F108:F113)</f>
        <v>6</v>
      </c>
      <c r="I117" s="278"/>
      <c r="J117" s="416"/>
    </row>
    <row r="118" spans="1:10" ht="19.5" customHeight="1" x14ac:dyDescent="0.3">
      <c r="A118" s="672"/>
      <c r="B118" s="673"/>
      <c r="C118" s="278"/>
      <c r="D118" s="278"/>
      <c r="E118" s="278"/>
      <c r="F118" s="377"/>
      <c r="G118" s="278"/>
      <c r="H118" s="278"/>
      <c r="I118" s="278"/>
    </row>
    <row r="119" spans="1:10" ht="18.75" x14ac:dyDescent="0.3">
      <c r="A119" s="446"/>
      <c r="B119" s="300"/>
      <c r="C119" s="278"/>
      <c r="D119" s="278"/>
      <c r="E119" s="278"/>
      <c r="F119" s="377"/>
      <c r="G119" s="278"/>
      <c r="H119" s="278"/>
      <c r="I119" s="278"/>
    </row>
    <row r="120" spans="1:10" ht="26.25" customHeight="1" x14ac:dyDescent="0.4">
      <c r="A120" s="288" t="s">
        <v>106</v>
      </c>
      <c r="B120" s="384" t="s">
        <v>123</v>
      </c>
      <c r="C120" s="674" t="str">
        <f>B20</f>
        <v>Efavirenz, Tenofovir Disproxil Fumarate, Lamivudine</v>
      </c>
      <c r="D120" s="674"/>
      <c r="E120" s="385" t="s">
        <v>124</v>
      </c>
      <c r="F120" s="385"/>
      <c r="G120" s="386">
        <f>F115</f>
        <v>1.0447511768184075</v>
      </c>
      <c r="H120" s="278"/>
      <c r="I120" s="278"/>
    </row>
    <row r="121" spans="1:10" ht="19.5" customHeight="1" x14ac:dyDescent="0.3">
      <c r="A121" s="438"/>
      <c r="B121" s="438"/>
      <c r="C121" s="439"/>
      <c r="D121" s="439"/>
      <c r="E121" s="439"/>
      <c r="F121" s="439"/>
      <c r="G121" s="439"/>
      <c r="H121" s="439"/>
    </row>
    <row r="122" spans="1:10" ht="18.75" x14ac:dyDescent="0.3">
      <c r="B122" s="675" t="s">
        <v>26</v>
      </c>
      <c r="C122" s="675"/>
      <c r="E122" s="391" t="s">
        <v>27</v>
      </c>
      <c r="F122" s="440"/>
      <c r="G122" s="675" t="s">
        <v>28</v>
      </c>
      <c r="H122" s="675"/>
    </row>
    <row r="123" spans="1:10" ht="69.95" customHeight="1" x14ac:dyDescent="0.3">
      <c r="A123" s="441" t="s">
        <v>29</v>
      </c>
      <c r="B123" s="442"/>
      <c r="C123" s="657" t="s">
        <v>132</v>
      </c>
      <c r="E123" s="657" t="s">
        <v>133</v>
      </c>
      <c r="F123" s="278"/>
      <c r="G123" s="443"/>
      <c r="H123" s="443"/>
    </row>
    <row r="124" spans="1:10" ht="69.95" customHeight="1" x14ac:dyDescent="0.3">
      <c r="A124" s="441" t="s">
        <v>30</v>
      </c>
      <c r="B124" s="444"/>
      <c r="C124" s="444"/>
      <c r="E124" s="444"/>
      <c r="F124" s="278"/>
      <c r="G124" s="445"/>
      <c r="H124" s="445"/>
    </row>
    <row r="125" spans="1:10" ht="18.75" x14ac:dyDescent="0.3">
      <c r="A125" s="376"/>
      <c r="B125" s="376"/>
      <c r="C125" s="377"/>
      <c r="D125" s="377"/>
      <c r="E125" s="377"/>
      <c r="F125" s="381"/>
      <c r="G125" s="377"/>
      <c r="H125" s="377"/>
      <c r="I125" s="278"/>
    </row>
    <row r="126" spans="1:10" ht="18.75" x14ac:dyDescent="0.3">
      <c r="A126" s="376"/>
      <c r="B126" s="376"/>
      <c r="C126" s="377"/>
      <c r="D126" s="377"/>
      <c r="E126" s="377"/>
      <c r="F126" s="381"/>
      <c r="G126" s="377"/>
      <c r="H126" s="377"/>
      <c r="I126" s="278"/>
    </row>
    <row r="127" spans="1:10" ht="18.75" x14ac:dyDescent="0.3">
      <c r="A127" s="376"/>
      <c r="B127" s="376"/>
      <c r="C127" s="377"/>
      <c r="D127" s="377"/>
      <c r="E127" s="377"/>
      <c r="F127" s="381"/>
      <c r="G127" s="377"/>
      <c r="H127" s="377"/>
      <c r="I127" s="278"/>
    </row>
    <row r="128" spans="1:10" ht="18.75" x14ac:dyDescent="0.3">
      <c r="A128" s="376"/>
      <c r="B128" s="376"/>
      <c r="C128" s="377"/>
      <c r="D128" s="377"/>
      <c r="E128" s="377"/>
      <c r="F128" s="381"/>
      <c r="G128" s="377"/>
      <c r="H128" s="377"/>
      <c r="I128" s="278"/>
    </row>
    <row r="129" spans="1:9" ht="18.75" x14ac:dyDescent="0.3">
      <c r="A129" s="376"/>
      <c r="B129" s="376"/>
      <c r="C129" s="377"/>
      <c r="D129" s="377"/>
      <c r="E129" s="377"/>
      <c r="F129" s="381"/>
      <c r="G129" s="377"/>
      <c r="H129" s="377"/>
      <c r="I129" s="278"/>
    </row>
    <row r="130" spans="1:9" ht="18.75" x14ac:dyDescent="0.3">
      <c r="A130" s="376"/>
      <c r="B130" s="376"/>
      <c r="C130" s="377"/>
      <c r="D130" s="377"/>
      <c r="E130" s="377"/>
      <c r="F130" s="381"/>
      <c r="G130" s="377"/>
      <c r="H130" s="377"/>
      <c r="I130" s="278"/>
    </row>
    <row r="131" spans="1:9" ht="18.75" x14ac:dyDescent="0.3">
      <c r="A131" s="376"/>
      <c r="B131" s="376"/>
      <c r="C131" s="377"/>
      <c r="D131" s="377"/>
      <c r="E131" s="377"/>
      <c r="F131" s="381"/>
      <c r="G131" s="377"/>
      <c r="H131" s="377"/>
      <c r="I131" s="278"/>
    </row>
    <row r="132" spans="1:9" ht="18.75" x14ac:dyDescent="0.3">
      <c r="A132" s="376"/>
      <c r="B132" s="376"/>
      <c r="C132" s="377"/>
      <c r="D132" s="377"/>
      <c r="E132" s="377"/>
      <c r="F132" s="381"/>
      <c r="G132" s="377"/>
      <c r="H132" s="377"/>
      <c r="I132" s="278"/>
    </row>
    <row r="133" spans="1:9" ht="18.75" x14ac:dyDescent="0.3">
      <c r="A133" s="376"/>
      <c r="B133" s="376"/>
      <c r="C133" s="377"/>
      <c r="D133" s="377"/>
      <c r="E133" s="377"/>
      <c r="F133" s="381"/>
      <c r="G133" s="377"/>
      <c r="H133" s="377"/>
      <c r="I133" s="27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85" zoomScale="40" zoomScaleNormal="40" zoomScaleSheetLayoutView="40" zoomScalePageLayoutView="55" workbookViewId="0">
      <selection activeCell="G101" sqref="G10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8" t="s">
        <v>45</v>
      </c>
      <c r="B1" s="668"/>
      <c r="C1" s="668"/>
      <c r="D1" s="668"/>
      <c r="E1" s="668"/>
      <c r="F1" s="668"/>
      <c r="G1" s="668"/>
      <c r="H1" s="668"/>
      <c r="I1" s="668"/>
    </row>
    <row r="2" spans="1:9" ht="18.75" customHeight="1" x14ac:dyDescent="0.25">
      <c r="A2" s="668"/>
      <c r="B2" s="668"/>
      <c r="C2" s="668"/>
      <c r="D2" s="668"/>
      <c r="E2" s="668"/>
      <c r="F2" s="668"/>
      <c r="G2" s="668"/>
      <c r="H2" s="668"/>
      <c r="I2" s="668"/>
    </row>
    <row r="3" spans="1:9" ht="18.75" customHeight="1" x14ac:dyDescent="0.25">
      <c r="A3" s="668"/>
      <c r="B3" s="668"/>
      <c r="C3" s="668"/>
      <c r="D3" s="668"/>
      <c r="E3" s="668"/>
      <c r="F3" s="668"/>
      <c r="G3" s="668"/>
      <c r="H3" s="668"/>
      <c r="I3" s="668"/>
    </row>
    <row r="4" spans="1:9" ht="18.75" customHeight="1" x14ac:dyDescent="0.25">
      <c r="A4" s="668"/>
      <c r="B4" s="668"/>
      <c r="C4" s="668"/>
      <c r="D4" s="668"/>
      <c r="E4" s="668"/>
      <c r="F4" s="668"/>
      <c r="G4" s="668"/>
      <c r="H4" s="668"/>
      <c r="I4" s="668"/>
    </row>
    <row r="5" spans="1:9" ht="18.75" customHeight="1" x14ac:dyDescent="0.25">
      <c r="A5" s="668"/>
      <c r="B5" s="668"/>
      <c r="C5" s="668"/>
      <c r="D5" s="668"/>
      <c r="E5" s="668"/>
      <c r="F5" s="668"/>
      <c r="G5" s="668"/>
      <c r="H5" s="668"/>
      <c r="I5" s="668"/>
    </row>
    <row r="6" spans="1:9" ht="18.75" customHeight="1" x14ac:dyDescent="0.25">
      <c r="A6" s="668"/>
      <c r="B6" s="668"/>
      <c r="C6" s="668"/>
      <c r="D6" s="668"/>
      <c r="E6" s="668"/>
      <c r="F6" s="668"/>
      <c r="G6" s="668"/>
      <c r="H6" s="668"/>
      <c r="I6" s="668"/>
    </row>
    <row r="7" spans="1:9" ht="18.75" customHeight="1" x14ac:dyDescent="0.25">
      <c r="A7" s="668"/>
      <c r="B7" s="668"/>
      <c r="C7" s="668"/>
      <c r="D7" s="668"/>
      <c r="E7" s="668"/>
      <c r="F7" s="668"/>
      <c r="G7" s="668"/>
      <c r="H7" s="668"/>
      <c r="I7" s="668"/>
    </row>
    <row r="8" spans="1:9" x14ac:dyDescent="0.25">
      <c r="A8" s="669" t="s">
        <v>46</v>
      </c>
      <c r="B8" s="669"/>
      <c r="C8" s="669"/>
      <c r="D8" s="669"/>
      <c r="E8" s="669"/>
      <c r="F8" s="669"/>
      <c r="G8" s="669"/>
      <c r="H8" s="669"/>
      <c r="I8" s="669"/>
    </row>
    <row r="9" spans="1:9" x14ac:dyDescent="0.25">
      <c r="A9" s="669"/>
      <c r="B9" s="669"/>
      <c r="C9" s="669"/>
      <c r="D9" s="669"/>
      <c r="E9" s="669"/>
      <c r="F9" s="669"/>
      <c r="G9" s="669"/>
      <c r="H9" s="669"/>
      <c r="I9" s="669"/>
    </row>
    <row r="10" spans="1:9" x14ac:dyDescent="0.25">
      <c r="A10" s="669"/>
      <c r="B10" s="669"/>
      <c r="C10" s="669"/>
      <c r="D10" s="669"/>
      <c r="E10" s="669"/>
      <c r="F10" s="669"/>
      <c r="G10" s="669"/>
      <c r="H10" s="669"/>
      <c r="I10" s="669"/>
    </row>
    <row r="11" spans="1:9" x14ac:dyDescent="0.25">
      <c r="A11" s="669"/>
      <c r="B11" s="669"/>
      <c r="C11" s="669"/>
      <c r="D11" s="669"/>
      <c r="E11" s="669"/>
      <c r="F11" s="669"/>
      <c r="G11" s="669"/>
      <c r="H11" s="669"/>
      <c r="I11" s="669"/>
    </row>
    <row r="12" spans="1:9" x14ac:dyDescent="0.25">
      <c r="A12" s="669"/>
      <c r="B12" s="669"/>
      <c r="C12" s="669"/>
      <c r="D12" s="669"/>
      <c r="E12" s="669"/>
      <c r="F12" s="669"/>
      <c r="G12" s="669"/>
      <c r="H12" s="669"/>
      <c r="I12" s="669"/>
    </row>
    <row r="13" spans="1:9" x14ac:dyDescent="0.25">
      <c r="A13" s="669"/>
      <c r="B13" s="669"/>
      <c r="C13" s="669"/>
      <c r="D13" s="669"/>
      <c r="E13" s="669"/>
      <c r="F13" s="669"/>
      <c r="G13" s="669"/>
      <c r="H13" s="669"/>
      <c r="I13" s="669"/>
    </row>
    <row r="14" spans="1:9" x14ac:dyDescent="0.25">
      <c r="A14" s="669"/>
      <c r="B14" s="669"/>
      <c r="C14" s="669"/>
      <c r="D14" s="669"/>
      <c r="E14" s="669"/>
      <c r="F14" s="669"/>
      <c r="G14" s="669"/>
      <c r="H14" s="669"/>
      <c r="I14" s="669"/>
    </row>
    <row r="15" spans="1:9" ht="19.5" customHeight="1" x14ac:dyDescent="0.3">
      <c r="A15" s="461"/>
    </row>
    <row r="16" spans="1:9" ht="19.5" customHeight="1" x14ac:dyDescent="0.3">
      <c r="A16" s="702" t="s">
        <v>31</v>
      </c>
      <c r="B16" s="703"/>
      <c r="C16" s="703"/>
      <c r="D16" s="703"/>
      <c r="E16" s="703"/>
      <c r="F16" s="703"/>
      <c r="G16" s="703"/>
      <c r="H16" s="704"/>
    </row>
    <row r="17" spans="1:14" ht="20.25" customHeight="1" x14ac:dyDescent="0.25">
      <c r="A17" s="705" t="s">
        <v>47</v>
      </c>
      <c r="B17" s="705"/>
      <c r="C17" s="705"/>
      <c r="D17" s="705"/>
      <c r="E17" s="705"/>
      <c r="F17" s="705"/>
      <c r="G17" s="705"/>
      <c r="H17" s="705"/>
    </row>
    <row r="18" spans="1:14" ht="26.25" customHeight="1" x14ac:dyDescent="0.4">
      <c r="A18" s="463" t="s">
        <v>33</v>
      </c>
      <c r="B18" s="701" t="s">
        <v>5</v>
      </c>
      <c r="C18" s="701"/>
      <c r="D18" s="628"/>
      <c r="E18" s="464"/>
      <c r="F18" s="465"/>
      <c r="G18" s="465"/>
      <c r="H18" s="465"/>
    </row>
    <row r="19" spans="1:14" ht="26.25" customHeight="1" x14ac:dyDescent="0.4">
      <c r="A19" s="463" t="s">
        <v>34</v>
      </c>
      <c r="B19" s="466" t="s">
        <v>7</v>
      </c>
      <c r="C19" s="641">
        <v>29</v>
      </c>
      <c r="D19" s="465"/>
      <c r="E19" s="465"/>
      <c r="F19" s="465"/>
      <c r="G19" s="465"/>
      <c r="H19" s="465"/>
    </row>
    <row r="20" spans="1:14" ht="26.25" customHeight="1" x14ac:dyDescent="0.4">
      <c r="A20" s="463" t="s">
        <v>35</v>
      </c>
      <c r="B20" s="706" t="s">
        <v>9</v>
      </c>
      <c r="C20" s="706"/>
      <c r="D20" s="465"/>
      <c r="E20" s="465"/>
      <c r="F20" s="465"/>
      <c r="G20" s="465"/>
      <c r="H20" s="465"/>
    </row>
    <row r="21" spans="1:14" ht="26.25" customHeight="1" x14ac:dyDescent="0.4">
      <c r="A21" s="463" t="s">
        <v>36</v>
      </c>
      <c r="B21" s="706" t="s">
        <v>11</v>
      </c>
      <c r="C21" s="706"/>
      <c r="D21" s="706"/>
      <c r="E21" s="706"/>
      <c r="F21" s="706"/>
      <c r="G21" s="706"/>
      <c r="H21" s="706"/>
      <c r="I21" s="467"/>
    </row>
    <row r="22" spans="1:14" ht="26.25" customHeight="1" x14ac:dyDescent="0.4">
      <c r="A22" s="463" t="s">
        <v>37</v>
      </c>
      <c r="B22" s="468">
        <v>42293</v>
      </c>
      <c r="C22" s="465"/>
      <c r="D22" s="465"/>
      <c r="E22" s="465"/>
      <c r="F22" s="465"/>
      <c r="G22" s="465"/>
      <c r="H22" s="465"/>
    </row>
    <row r="23" spans="1:14" ht="26.25" customHeight="1" x14ac:dyDescent="0.4">
      <c r="A23" s="463" t="s">
        <v>38</v>
      </c>
      <c r="B23" s="468">
        <v>42305</v>
      </c>
      <c r="C23" s="465"/>
      <c r="D23" s="465"/>
      <c r="E23" s="465"/>
      <c r="F23" s="465"/>
      <c r="G23" s="465"/>
      <c r="H23" s="465"/>
    </row>
    <row r="24" spans="1:14" ht="18.75" x14ac:dyDescent="0.3">
      <c r="A24" s="463"/>
      <c r="B24" s="469"/>
    </row>
    <row r="25" spans="1:14" ht="18.75" x14ac:dyDescent="0.3">
      <c r="A25" s="470" t="s">
        <v>1</v>
      </c>
      <c r="B25" s="469"/>
    </row>
    <row r="26" spans="1:14" ht="26.25" customHeight="1" x14ac:dyDescent="0.4">
      <c r="A26" s="471" t="s">
        <v>4</v>
      </c>
      <c r="B26" s="701" t="s">
        <v>130</v>
      </c>
      <c r="C26" s="701"/>
    </row>
    <row r="27" spans="1:14" ht="26.25" customHeight="1" x14ac:dyDescent="0.4">
      <c r="A27" s="472" t="s">
        <v>48</v>
      </c>
      <c r="B27" s="699" t="s">
        <v>131</v>
      </c>
      <c r="C27" s="699"/>
    </row>
    <row r="28" spans="1:14" ht="27" customHeight="1" x14ac:dyDescent="0.4">
      <c r="A28" s="472" t="s">
        <v>6</v>
      </c>
      <c r="B28" s="473">
        <v>99.3</v>
      </c>
    </row>
    <row r="29" spans="1:14" s="14" customFormat="1" ht="27" customHeight="1" x14ac:dyDescent="0.4">
      <c r="A29" s="472" t="s">
        <v>49</v>
      </c>
      <c r="B29" s="474">
        <v>0</v>
      </c>
      <c r="C29" s="676" t="s">
        <v>50</v>
      </c>
      <c r="D29" s="677"/>
      <c r="E29" s="677"/>
      <c r="F29" s="677"/>
      <c r="G29" s="678"/>
      <c r="I29" s="475"/>
      <c r="J29" s="475"/>
      <c r="K29" s="475"/>
      <c r="L29" s="475"/>
    </row>
    <row r="30" spans="1:14" s="14" customFormat="1" ht="19.5" customHeight="1" x14ac:dyDescent="0.3">
      <c r="A30" s="472" t="s">
        <v>51</v>
      </c>
      <c r="B30" s="476">
        <f>B28-B29</f>
        <v>99.3</v>
      </c>
      <c r="C30" s="477"/>
      <c r="D30" s="477"/>
      <c r="E30" s="477"/>
      <c r="F30" s="477"/>
      <c r="G30" s="478"/>
      <c r="I30" s="475"/>
      <c r="J30" s="475"/>
      <c r="K30" s="475"/>
      <c r="L30" s="475"/>
    </row>
    <row r="31" spans="1:14" s="14" customFormat="1" ht="27" customHeight="1" x14ac:dyDescent="0.4">
      <c r="A31" s="472" t="s">
        <v>52</v>
      </c>
      <c r="B31" s="479">
        <v>1</v>
      </c>
      <c r="C31" s="679" t="s">
        <v>53</v>
      </c>
      <c r="D31" s="680"/>
      <c r="E31" s="680"/>
      <c r="F31" s="680"/>
      <c r="G31" s="680"/>
      <c r="H31" s="681"/>
      <c r="I31" s="475"/>
      <c r="J31" s="475"/>
      <c r="K31" s="475"/>
      <c r="L31" s="475"/>
    </row>
    <row r="32" spans="1:14" s="14" customFormat="1" ht="27" customHeight="1" x14ac:dyDescent="0.4">
      <c r="A32" s="472" t="s">
        <v>54</v>
      </c>
      <c r="B32" s="479">
        <v>1</v>
      </c>
      <c r="C32" s="679" t="s">
        <v>55</v>
      </c>
      <c r="D32" s="680"/>
      <c r="E32" s="680"/>
      <c r="F32" s="680"/>
      <c r="G32" s="680"/>
      <c r="H32" s="681"/>
      <c r="I32" s="475"/>
      <c r="J32" s="475"/>
      <c r="K32" s="475"/>
      <c r="L32" s="480"/>
      <c r="M32" s="480"/>
      <c r="N32" s="481"/>
    </row>
    <row r="33" spans="1:14" s="14" customFormat="1" ht="17.25" customHeight="1" x14ac:dyDescent="0.3">
      <c r="A33" s="472"/>
      <c r="B33" s="482"/>
      <c r="C33" s="483"/>
      <c r="D33" s="483"/>
      <c r="E33" s="483"/>
      <c r="F33" s="483"/>
      <c r="G33" s="483"/>
      <c r="H33" s="483"/>
      <c r="I33" s="475"/>
      <c r="J33" s="475"/>
      <c r="K33" s="475"/>
      <c r="L33" s="480"/>
      <c r="M33" s="480"/>
      <c r="N33" s="481"/>
    </row>
    <row r="34" spans="1:14" s="14" customFormat="1" ht="18.75" x14ac:dyDescent="0.3">
      <c r="A34" s="472" t="s">
        <v>56</v>
      </c>
      <c r="B34" s="484">
        <f>B31/B32</f>
        <v>1</v>
      </c>
      <c r="C34" s="462" t="s">
        <v>57</v>
      </c>
      <c r="D34" s="462"/>
      <c r="E34" s="462"/>
      <c r="F34" s="462"/>
      <c r="G34" s="462"/>
      <c r="I34" s="475"/>
      <c r="J34" s="475"/>
      <c r="K34" s="475"/>
      <c r="L34" s="480"/>
      <c r="M34" s="480"/>
      <c r="N34" s="481"/>
    </row>
    <row r="35" spans="1:14" s="14" customFormat="1" ht="19.5" customHeight="1" x14ac:dyDescent="0.3">
      <c r="A35" s="472"/>
      <c r="B35" s="476"/>
      <c r="G35" s="462"/>
      <c r="I35" s="475"/>
      <c r="J35" s="475"/>
      <c r="K35" s="475"/>
      <c r="L35" s="480"/>
      <c r="M35" s="480"/>
      <c r="N35" s="481"/>
    </row>
    <row r="36" spans="1:14" s="14" customFormat="1" ht="27" customHeight="1" x14ac:dyDescent="0.4">
      <c r="A36" s="485" t="s">
        <v>58</v>
      </c>
      <c r="B36" s="486">
        <v>50</v>
      </c>
      <c r="C36" s="462"/>
      <c r="D36" s="682" t="s">
        <v>59</v>
      </c>
      <c r="E36" s="700"/>
      <c r="F36" s="682" t="s">
        <v>60</v>
      </c>
      <c r="G36" s="683"/>
      <c r="J36" s="475"/>
      <c r="K36" s="475"/>
      <c r="L36" s="480"/>
      <c r="M36" s="480"/>
      <c r="N36" s="481"/>
    </row>
    <row r="37" spans="1:14" s="14" customFormat="1" ht="27" customHeight="1" x14ac:dyDescent="0.4">
      <c r="A37" s="487" t="s">
        <v>61</v>
      </c>
      <c r="B37" s="488">
        <v>5</v>
      </c>
      <c r="C37" s="489" t="s">
        <v>62</v>
      </c>
      <c r="D37" s="490" t="s">
        <v>63</v>
      </c>
      <c r="E37" s="491" t="s">
        <v>64</v>
      </c>
      <c r="F37" s="490" t="s">
        <v>63</v>
      </c>
      <c r="G37" s="492" t="s">
        <v>64</v>
      </c>
      <c r="I37" s="493" t="s">
        <v>65</v>
      </c>
      <c r="J37" s="475"/>
      <c r="K37" s="475"/>
      <c r="L37" s="480"/>
      <c r="M37" s="480"/>
      <c r="N37" s="481"/>
    </row>
    <row r="38" spans="1:14" s="14" customFormat="1" ht="26.25" customHeight="1" x14ac:dyDescent="0.4">
      <c r="A38" s="487" t="s">
        <v>66</v>
      </c>
      <c r="B38" s="488">
        <v>50</v>
      </c>
      <c r="C38" s="494">
        <v>1</v>
      </c>
      <c r="D38" s="495">
        <v>17175641</v>
      </c>
      <c r="E38" s="496">
        <f>IF(ISBLANK(D38),"-",$D$48/$D$45*D38)</f>
        <v>16015479.653873412</v>
      </c>
      <c r="F38" s="495">
        <v>16063577</v>
      </c>
      <c r="G38" s="497">
        <f>IF(ISBLANK(F38),"-",$D$48/$F$45*F38)</f>
        <v>15807962.250410859</v>
      </c>
      <c r="I38" s="498"/>
      <c r="J38" s="475"/>
      <c r="K38" s="475"/>
      <c r="L38" s="480"/>
      <c r="M38" s="480"/>
      <c r="N38" s="481"/>
    </row>
    <row r="39" spans="1:14" s="14" customFormat="1" ht="26.25" customHeight="1" x14ac:dyDescent="0.4">
      <c r="A39" s="487" t="s">
        <v>67</v>
      </c>
      <c r="B39" s="488">
        <v>1</v>
      </c>
      <c r="C39" s="499">
        <v>2</v>
      </c>
      <c r="D39" s="500">
        <v>17092785</v>
      </c>
      <c r="E39" s="501">
        <f>IF(ISBLANK(D39),"-",$D$48/$D$45*D39)</f>
        <v>15938220.320017906</v>
      </c>
      <c r="F39" s="500">
        <v>16011736</v>
      </c>
      <c r="G39" s="502">
        <f>IF(ISBLANK(F39),"-",$D$48/$F$45*F39)</f>
        <v>15756946.180265114</v>
      </c>
      <c r="I39" s="684">
        <f>ABS((F43/D43*D42)-F42)/D42</f>
        <v>1.2632527855323853E-2</v>
      </c>
      <c r="J39" s="475"/>
      <c r="K39" s="475"/>
      <c r="L39" s="480"/>
      <c r="M39" s="480"/>
      <c r="N39" s="481"/>
    </row>
    <row r="40" spans="1:14" ht="26.25" customHeight="1" x14ac:dyDescent="0.4">
      <c r="A40" s="487" t="s">
        <v>68</v>
      </c>
      <c r="B40" s="488">
        <v>1</v>
      </c>
      <c r="C40" s="499">
        <v>3</v>
      </c>
      <c r="D40" s="500">
        <v>17190474</v>
      </c>
      <c r="E40" s="501">
        <f>IF(ISBLANK(D40),"-",$D$48/$D$45*D40)</f>
        <v>16029310.730670249</v>
      </c>
      <c r="F40" s="500">
        <v>16033527</v>
      </c>
      <c r="G40" s="502">
        <f>IF(ISBLANK(F40),"-",$D$48/$F$45*F40)</f>
        <v>15778390.426798668</v>
      </c>
      <c r="I40" s="684"/>
      <c r="L40" s="480"/>
      <c r="M40" s="480"/>
      <c r="N40" s="503"/>
    </row>
    <row r="41" spans="1:14" ht="27" customHeight="1" x14ac:dyDescent="0.4">
      <c r="A41" s="487" t="s">
        <v>69</v>
      </c>
      <c r="B41" s="488">
        <v>1</v>
      </c>
      <c r="C41" s="504">
        <v>4</v>
      </c>
      <c r="D41" s="505"/>
      <c r="E41" s="506" t="str">
        <f>IF(ISBLANK(D41),"-",$D$48/$D$45*D41)</f>
        <v>-</v>
      </c>
      <c r="F41" s="505"/>
      <c r="G41" s="507" t="str">
        <f>IF(ISBLANK(F41),"-",$D$48/$F$45*F41)</f>
        <v>-</v>
      </c>
      <c r="I41" s="508"/>
      <c r="L41" s="480"/>
      <c r="M41" s="480"/>
      <c r="N41" s="503"/>
    </row>
    <row r="42" spans="1:14" ht="27" customHeight="1" x14ac:dyDescent="0.4">
      <c r="A42" s="487" t="s">
        <v>70</v>
      </c>
      <c r="B42" s="488">
        <v>1</v>
      </c>
      <c r="C42" s="509" t="s">
        <v>71</v>
      </c>
      <c r="D42" s="510">
        <f>AVERAGE(D38:D41)</f>
        <v>17152966.666666668</v>
      </c>
      <c r="E42" s="511">
        <f>AVERAGE(E38:E41)</f>
        <v>15994336.901520522</v>
      </c>
      <c r="F42" s="510">
        <f>AVERAGE(F38:F41)</f>
        <v>16036280</v>
      </c>
      <c r="G42" s="512">
        <f>AVERAGE(G38:G41)</f>
        <v>15781099.619158214</v>
      </c>
      <c r="H42" s="513"/>
    </row>
    <row r="43" spans="1:14" ht="26.25" customHeight="1" x14ac:dyDescent="0.4">
      <c r="A43" s="487" t="s">
        <v>72</v>
      </c>
      <c r="B43" s="488">
        <v>1</v>
      </c>
      <c r="C43" s="514" t="s">
        <v>73</v>
      </c>
      <c r="D43" s="652">
        <v>32.4</v>
      </c>
      <c r="E43" s="503"/>
      <c r="F43" s="652">
        <v>30.7</v>
      </c>
      <c r="H43" s="513"/>
    </row>
    <row r="44" spans="1:14" ht="26.25" customHeight="1" x14ac:dyDescent="0.4">
      <c r="A44" s="487" t="s">
        <v>74</v>
      </c>
      <c r="B44" s="488">
        <v>1</v>
      </c>
      <c r="C44" s="515" t="s">
        <v>75</v>
      </c>
      <c r="D44" s="516">
        <f>D43*$B$34</f>
        <v>32.4</v>
      </c>
      <c r="E44" s="517"/>
      <c r="F44" s="516">
        <f>F43*$B$34</f>
        <v>30.7</v>
      </c>
      <c r="H44" s="513"/>
    </row>
    <row r="45" spans="1:14" ht="19.5" customHeight="1" x14ac:dyDescent="0.3">
      <c r="A45" s="487" t="s">
        <v>76</v>
      </c>
      <c r="B45" s="518">
        <f>(B44/B43)*(B42/B41)*(B40/B39)*(B38/B37)*B36</f>
        <v>500</v>
      </c>
      <c r="C45" s="515" t="s">
        <v>77</v>
      </c>
      <c r="D45" s="519">
        <f>D44*$B$30/100</f>
        <v>32.173199999999994</v>
      </c>
      <c r="E45" s="520"/>
      <c r="F45" s="519">
        <f>F44*$B$30/100</f>
        <v>30.485099999999999</v>
      </c>
      <c r="H45" s="513"/>
    </row>
    <row r="46" spans="1:14" ht="19.5" customHeight="1" x14ac:dyDescent="0.3">
      <c r="A46" s="670" t="s">
        <v>78</v>
      </c>
      <c r="B46" s="671"/>
      <c r="C46" s="515" t="s">
        <v>79</v>
      </c>
      <c r="D46" s="521">
        <f>D45/$B$45</f>
        <v>6.4346399999999984E-2</v>
      </c>
      <c r="E46" s="522"/>
      <c r="F46" s="523">
        <f>F45/$B$45</f>
        <v>6.0970199999999995E-2</v>
      </c>
      <c r="H46" s="513"/>
    </row>
    <row r="47" spans="1:14" ht="27" customHeight="1" x14ac:dyDescent="0.4">
      <c r="A47" s="672"/>
      <c r="B47" s="673"/>
      <c r="C47" s="524" t="s">
        <v>80</v>
      </c>
      <c r="D47" s="525">
        <v>0.06</v>
      </c>
      <c r="E47" s="526"/>
      <c r="F47" s="522"/>
      <c r="H47" s="513"/>
    </row>
    <row r="48" spans="1:14" ht="18.75" x14ac:dyDescent="0.3">
      <c r="C48" s="527" t="s">
        <v>81</v>
      </c>
      <c r="D48" s="519">
        <f>D47*$B$45</f>
        <v>30</v>
      </c>
      <c r="F48" s="528"/>
      <c r="H48" s="513"/>
    </row>
    <row r="49" spans="1:12" ht="19.5" customHeight="1" x14ac:dyDescent="0.3">
      <c r="C49" s="529" t="s">
        <v>82</v>
      </c>
      <c r="D49" s="530">
        <f>D48/B34</f>
        <v>30</v>
      </c>
      <c r="F49" s="528"/>
      <c r="H49" s="513"/>
    </row>
    <row r="50" spans="1:12" ht="18.75" x14ac:dyDescent="0.3">
      <c r="C50" s="485" t="s">
        <v>83</v>
      </c>
      <c r="D50" s="531">
        <f>AVERAGE(E38:E41,G38:G41)</f>
        <v>15887718.26033937</v>
      </c>
      <c r="F50" s="532"/>
      <c r="H50" s="513"/>
    </row>
    <row r="51" spans="1:12" ht="18.75" x14ac:dyDescent="0.3">
      <c r="C51" s="487" t="s">
        <v>84</v>
      </c>
      <c r="D51" s="533">
        <f>STDEV(E38:E41,G38:G41)/D50</f>
        <v>7.6745934273394455E-3</v>
      </c>
      <c r="F51" s="532"/>
      <c r="H51" s="513"/>
    </row>
    <row r="52" spans="1:12" ht="19.5" customHeight="1" x14ac:dyDescent="0.3">
      <c r="C52" s="534" t="s">
        <v>20</v>
      </c>
      <c r="D52" s="535">
        <f>COUNT(E38:E41,G38:G41)</f>
        <v>6</v>
      </c>
      <c r="F52" s="532"/>
    </row>
    <row r="54" spans="1:12" ht="18.75" x14ac:dyDescent="0.3">
      <c r="A54" s="536" t="s">
        <v>1</v>
      </c>
      <c r="B54" s="537" t="s">
        <v>85</v>
      </c>
    </row>
    <row r="55" spans="1:12" ht="18.75" x14ac:dyDescent="0.3">
      <c r="A55" s="462" t="s">
        <v>86</v>
      </c>
      <c r="B55" s="538" t="str">
        <f>B21</f>
        <v>Each film coated tablet contains:
Efavirens USP 600 mg
Lamivudine USP 300 mg
Tenofovir Disproxil Fumarate 300 mg equivalent to Tenofovir Disproxil 245 mg</v>
      </c>
    </row>
    <row r="56" spans="1:12" ht="26.25" customHeight="1" x14ac:dyDescent="0.4">
      <c r="A56" s="539" t="s">
        <v>87</v>
      </c>
      <c r="B56" s="540">
        <v>300</v>
      </c>
      <c r="C56" s="462" t="str">
        <f>B20</f>
        <v>Efavirenz, Tenofovir Disproxil Fumarate, Lamivudine</v>
      </c>
      <c r="H56" s="541"/>
    </row>
    <row r="57" spans="1:12" ht="18.75" x14ac:dyDescent="0.3">
      <c r="A57" s="538" t="s">
        <v>88</v>
      </c>
      <c r="B57" s="629">
        <f>Uniformity!C46</f>
        <v>1740.789</v>
      </c>
      <c r="H57" s="541"/>
    </row>
    <row r="58" spans="1:12" ht="19.5" customHeight="1" x14ac:dyDescent="0.3">
      <c r="H58" s="541"/>
    </row>
    <row r="59" spans="1:12" s="14" customFormat="1" ht="27" customHeight="1" x14ac:dyDescent="0.4">
      <c r="A59" s="485" t="s">
        <v>89</v>
      </c>
      <c r="B59" s="486">
        <v>100</v>
      </c>
      <c r="C59" s="462"/>
      <c r="D59" s="542" t="s">
        <v>90</v>
      </c>
      <c r="E59" s="543" t="s">
        <v>62</v>
      </c>
      <c r="F59" s="543" t="s">
        <v>63</v>
      </c>
      <c r="G59" s="543" t="s">
        <v>91</v>
      </c>
      <c r="H59" s="489" t="s">
        <v>92</v>
      </c>
      <c r="L59" s="475"/>
    </row>
    <row r="60" spans="1:12" s="14" customFormat="1" ht="26.25" customHeight="1" x14ac:dyDescent="0.4">
      <c r="A60" s="487" t="s">
        <v>93</v>
      </c>
      <c r="B60" s="488">
        <v>2</v>
      </c>
      <c r="C60" s="687" t="s">
        <v>94</v>
      </c>
      <c r="D60" s="690">
        <v>1739.48</v>
      </c>
      <c r="E60" s="544">
        <v>1</v>
      </c>
      <c r="F60" s="545">
        <v>15398687</v>
      </c>
      <c r="G60" s="630">
        <f>IF(ISBLANK(F60),"-",(F60/$D$50*$D$47*$B$68)*($B$57/$D$60))</f>
        <v>290.98467051829181</v>
      </c>
      <c r="H60" s="546">
        <f t="shared" ref="H60:H71" si="0">IF(ISBLANK(F60),"-",G60/$B$56)</f>
        <v>0.96994890172763937</v>
      </c>
      <c r="L60" s="475"/>
    </row>
    <row r="61" spans="1:12" s="14" customFormat="1" ht="26.25" customHeight="1" x14ac:dyDescent="0.4">
      <c r="A61" s="487" t="s">
        <v>95</v>
      </c>
      <c r="B61" s="488">
        <v>100</v>
      </c>
      <c r="C61" s="688"/>
      <c r="D61" s="691"/>
      <c r="E61" s="547">
        <v>2</v>
      </c>
      <c r="F61" s="500">
        <v>15372950</v>
      </c>
      <c r="G61" s="631">
        <f>IF(ISBLANK(F61),"-",(F61/$D$50*$D$47*$B$68)*($B$57/$D$60))</f>
        <v>290.49832564582772</v>
      </c>
      <c r="H61" s="548">
        <f t="shared" si="0"/>
        <v>0.96832775215275901</v>
      </c>
      <c r="L61" s="475"/>
    </row>
    <row r="62" spans="1:12" s="14" customFormat="1" ht="26.25" customHeight="1" x14ac:dyDescent="0.4">
      <c r="A62" s="487" t="s">
        <v>96</v>
      </c>
      <c r="B62" s="488">
        <v>1</v>
      </c>
      <c r="C62" s="688"/>
      <c r="D62" s="691"/>
      <c r="E62" s="547">
        <v>3</v>
      </c>
      <c r="F62" s="549">
        <v>15356668</v>
      </c>
      <c r="G62" s="631">
        <f>IF(ISBLANK(F62),"-",(F62/$D$50*$D$47*$B$68)*($B$57/$D$60))</f>
        <v>290.19064925722535</v>
      </c>
      <c r="H62" s="548">
        <f t="shared" si="0"/>
        <v>0.9673021641907511</v>
      </c>
      <c r="L62" s="475"/>
    </row>
    <row r="63" spans="1:12" ht="27" customHeight="1" x14ac:dyDescent="0.4">
      <c r="A63" s="487" t="s">
        <v>97</v>
      </c>
      <c r="B63" s="488">
        <v>1</v>
      </c>
      <c r="C63" s="698"/>
      <c r="D63" s="692"/>
      <c r="E63" s="550">
        <v>4</v>
      </c>
      <c r="F63" s="551"/>
      <c r="G63" s="631" t="str">
        <f>IF(ISBLANK(F63),"-",(F63/$D$50*$D$47*$B$68)*($B$57/$D$60))</f>
        <v>-</v>
      </c>
      <c r="H63" s="548" t="str">
        <f t="shared" si="0"/>
        <v>-</v>
      </c>
    </row>
    <row r="64" spans="1:12" ht="26.25" customHeight="1" x14ac:dyDescent="0.4">
      <c r="A64" s="487" t="s">
        <v>98</v>
      </c>
      <c r="B64" s="488">
        <v>1</v>
      </c>
      <c r="C64" s="687" t="s">
        <v>99</v>
      </c>
      <c r="D64" s="690">
        <v>1741.08</v>
      </c>
      <c r="E64" s="544">
        <v>1</v>
      </c>
      <c r="F64" s="545">
        <v>15741650</v>
      </c>
      <c r="G64" s="632">
        <f>IF(ISBLANK(F64),"-",(F64/$D$50*$D$47*$B$68)*($B$57/$D$64))</f>
        <v>297.19218430022914</v>
      </c>
      <c r="H64" s="552">
        <f t="shared" si="0"/>
        <v>0.99064061433409711</v>
      </c>
    </row>
    <row r="65" spans="1:8" ht="26.25" customHeight="1" x14ac:dyDescent="0.4">
      <c r="A65" s="487" t="s">
        <v>100</v>
      </c>
      <c r="B65" s="488">
        <v>1</v>
      </c>
      <c r="C65" s="688"/>
      <c r="D65" s="691"/>
      <c r="E65" s="547">
        <v>2</v>
      </c>
      <c r="F65" s="500">
        <v>15773203</v>
      </c>
      <c r="G65" s="633">
        <f>IF(ISBLANK(F65),"-",(F65/$D$50*$D$47*$B$68)*($B$57/$D$64))</f>
        <v>297.78788455980964</v>
      </c>
      <c r="H65" s="553">
        <f t="shared" si="0"/>
        <v>0.99262628186603219</v>
      </c>
    </row>
    <row r="66" spans="1:8" ht="26.25" customHeight="1" x14ac:dyDescent="0.4">
      <c r="A66" s="487" t="s">
        <v>101</v>
      </c>
      <c r="B66" s="488">
        <v>1</v>
      </c>
      <c r="C66" s="688"/>
      <c r="D66" s="691"/>
      <c r="E66" s="547">
        <v>3</v>
      </c>
      <c r="F66" s="500">
        <v>15678965</v>
      </c>
      <c r="G66" s="633">
        <f>IF(ISBLANK(F66),"-",(F66/$D$50*$D$47*$B$68)*($B$57/$D$64))</f>
        <v>296.00873198913979</v>
      </c>
      <c r="H66" s="553">
        <f t="shared" si="0"/>
        <v>0.98669577329713265</v>
      </c>
    </row>
    <row r="67" spans="1:8" ht="27" customHeight="1" x14ac:dyDescent="0.4">
      <c r="A67" s="487" t="s">
        <v>102</v>
      </c>
      <c r="B67" s="488">
        <v>1</v>
      </c>
      <c r="C67" s="698"/>
      <c r="D67" s="692"/>
      <c r="E67" s="550">
        <v>4</v>
      </c>
      <c r="F67" s="551"/>
      <c r="G67" s="634" t="str">
        <f>IF(ISBLANK(F67),"-",(F67/$D$50*$D$47*$B$68)*($B$57/$D$64))</f>
        <v>-</v>
      </c>
      <c r="H67" s="554" t="str">
        <f t="shared" si="0"/>
        <v>-</v>
      </c>
    </row>
    <row r="68" spans="1:8" ht="26.25" customHeight="1" x14ac:dyDescent="0.4">
      <c r="A68" s="487" t="s">
        <v>103</v>
      </c>
      <c r="B68" s="555">
        <f>(B67/B66)*(B65/B64)*(B63/B62)*(B61/B60)*B59</f>
        <v>5000</v>
      </c>
      <c r="C68" s="687" t="s">
        <v>104</v>
      </c>
      <c r="D68" s="690">
        <v>1738.41</v>
      </c>
      <c r="E68" s="544">
        <v>1</v>
      </c>
      <c r="F68" s="545">
        <v>15154551</v>
      </c>
      <c r="G68" s="632">
        <f>IF(ISBLANK(F68),"-",(F68/$D$50*$D$47*$B$68)*($B$57/$D$68))</f>
        <v>286.54756394075815</v>
      </c>
      <c r="H68" s="548">
        <f t="shared" si="0"/>
        <v>0.95515854646919385</v>
      </c>
    </row>
    <row r="69" spans="1:8" ht="27" customHeight="1" x14ac:dyDescent="0.4">
      <c r="A69" s="534" t="s">
        <v>105</v>
      </c>
      <c r="B69" s="556">
        <f>(D47*B68)/B56*B57</f>
        <v>1740.789</v>
      </c>
      <c r="C69" s="688"/>
      <c r="D69" s="691"/>
      <c r="E69" s="547">
        <v>2</v>
      </c>
      <c r="F69" s="500">
        <v>15042277</v>
      </c>
      <c r="G69" s="633">
        <f>IF(ISBLANK(F69),"-",(F69/$D$50*$D$47*$B$68)*($B$57/$D$68))</f>
        <v>284.42464778218073</v>
      </c>
      <c r="H69" s="548">
        <f t="shared" si="0"/>
        <v>0.9480821592739358</v>
      </c>
    </row>
    <row r="70" spans="1:8" ht="26.25" customHeight="1" x14ac:dyDescent="0.4">
      <c r="A70" s="693" t="s">
        <v>78</v>
      </c>
      <c r="B70" s="694"/>
      <c r="C70" s="688"/>
      <c r="D70" s="691"/>
      <c r="E70" s="547">
        <v>3</v>
      </c>
      <c r="F70" s="500">
        <v>15113783</v>
      </c>
      <c r="G70" s="633">
        <f>IF(ISBLANK(F70),"-",(F70/$D$50*$D$47*$B$68)*($B$57/$D$68))</f>
        <v>285.77670830229437</v>
      </c>
      <c r="H70" s="548">
        <f t="shared" si="0"/>
        <v>0.95258902767431453</v>
      </c>
    </row>
    <row r="71" spans="1:8" ht="27" customHeight="1" x14ac:dyDescent="0.4">
      <c r="A71" s="695"/>
      <c r="B71" s="696"/>
      <c r="C71" s="689"/>
      <c r="D71" s="692"/>
      <c r="E71" s="550">
        <v>4</v>
      </c>
      <c r="F71" s="551"/>
      <c r="G71" s="634" t="str">
        <f>IF(ISBLANK(F71),"-",(F71/$D$50*$D$47*$B$68)*($B$57/$D$68))</f>
        <v>-</v>
      </c>
      <c r="H71" s="557" t="str">
        <f t="shared" si="0"/>
        <v>-</v>
      </c>
    </row>
    <row r="72" spans="1:8" ht="26.25" customHeight="1" x14ac:dyDescent="0.4">
      <c r="A72" s="558"/>
      <c r="B72" s="558"/>
      <c r="C72" s="558"/>
      <c r="D72" s="558"/>
      <c r="E72" s="558"/>
      <c r="F72" s="560" t="s">
        <v>71</v>
      </c>
      <c r="G72" s="639">
        <f>AVERAGE(G60:G71)</f>
        <v>291.04570736619519</v>
      </c>
      <c r="H72" s="561">
        <f>AVERAGE(H60:H71)</f>
        <v>0.97015235788731735</v>
      </c>
    </row>
    <row r="73" spans="1:8" ht="26.25" customHeight="1" x14ac:dyDescent="0.4">
      <c r="C73" s="558"/>
      <c r="D73" s="558"/>
      <c r="E73" s="558"/>
      <c r="F73" s="562" t="s">
        <v>84</v>
      </c>
      <c r="G73" s="635">
        <f>STDEV(G60:G71)/G72</f>
        <v>1.721102609031681E-2</v>
      </c>
      <c r="H73" s="635">
        <f>STDEV(H60:H71)/H72</f>
        <v>1.7211026090316814E-2</v>
      </c>
    </row>
    <row r="74" spans="1:8" ht="27" customHeight="1" x14ac:dyDescent="0.4">
      <c r="A74" s="558"/>
      <c r="B74" s="558"/>
      <c r="C74" s="559"/>
      <c r="D74" s="559"/>
      <c r="E74" s="563"/>
      <c r="F74" s="564" t="s">
        <v>20</v>
      </c>
      <c r="G74" s="565">
        <f>COUNT(G60:G71)</f>
        <v>9</v>
      </c>
      <c r="H74" s="565">
        <f>COUNT(H60:H71)</f>
        <v>9</v>
      </c>
    </row>
    <row r="76" spans="1:8" ht="26.25" customHeight="1" x14ac:dyDescent="0.4">
      <c r="A76" s="471" t="s">
        <v>106</v>
      </c>
      <c r="B76" s="566" t="s">
        <v>107</v>
      </c>
      <c r="C76" s="674" t="str">
        <f>B20</f>
        <v>Efavirenz, Tenofovir Disproxil Fumarate, Lamivudine</v>
      </c>
      <c r="D76" s="674"/>
      <c r="E76" s="567" t="s">
        <v>108</v>
      </c>
      <c r="F76" s="567"/>
      <c r="G76" s="568">
        <f>H72</f>
        <v>0.97015235788731735</v>
      </c>
      <c r="H76" s="569"/>
    </row>
    <row r="77" spans="1:8" ht="18.75" x14ac:dyDescent="0.3">
      <c r="A77" s="470" t="s">
        <v>109</v>
      </c>
      <c r="B77" s="470" t="s">
        <v>110</v>
      </c>
    </row>
    <row r="78" spans="1:8" ht="18.75" x14ac:dyDescent="0.3">
      <c r="A78" s="470"/>
      <c r="B78" s="470"/>
    </row>
    <row r="79" spans="1:8" ht="26.25" customHeight="1" x14ac:dyDescent="0.4">
      <c r="A79" s="471" t="s">
        <v>4</v>
      </c>
      <c r="B79" s="697" t="str">
        <f>B26</f>
        <v>Tenofovir Disoproxil Fumarate</v>
      </c>
      <c r="C79" s="697"/>
    </row>
    <row r="80" spans="1:8" ht="26.25" customHeight="1" x14ac:dyDescent="0.4">
      <c r="A80" s="472" t="s">
        <v>48</v>
      </c>
      <c r="B80" s="697" t="str">
        <f>B27</f>
        <v>T11-1</v>
      </c>
      <c r="C80" s="697"/>
    </row>
    <row r="81" spans="1:12" ht="27" customHeight="1" x14ac:dyDescent="0.4">
      <c r="A81" s="472" t="s">
        <v>6</v>
      </c>
      <c r="B81" s="570">
        <f>B28</f>
        <v>99.3</v>
      </c>
    </row>
    <row r="82" spans="1:12" s="14" customFormat="1" ht="27" customHeight="1" x14ac:dyDescent="0.4">
      <c r="A82" s="472" t="s">
        <v>49</v>
      </c>
      <c r="B82" s="474">
        <v>0</v>
      </c>
      <c r="C82" s="676" t="s">
        <v>50</v>
      </c>
      <c r="D82" s="677"/>
      <c r="E82" s="677"/>
      <c r="F82" s="677"/>
      <c r="G82" s="678"/>
      <c r="I82" s="475"/>
      <c r="J82" s="475"/>
      <c r="K82" s="475"/>
      <c r="L82" s="475"/>
    </row>
    <row r="83" spans="1:12" s="14" customFormat="1" ht="19.5" customHeight="1" x14ac:dyDescent="0.3">
      <c r="A83" s="472" t="s">
        <v>51</v>
      </c>
      <c r="B83" s="476">
        <f>B81-B82</f>
        <v>99.3</v>
      </c>
      <c r="C83" s="477"/>
      <c r="D83" s="477"/>
      <c r="E83" s="477"/>
      <c r="F83" s="477"/>
      <c r="G83" s="478"/>
      <c r="I83" s="475"/>
      <c r="J83" s="475"/>
      <c r="K83" s="475"/>
      <c r="L83" s="475"/>
    </row>
    <row r="84" spans="1:12" s="14" customFormat="1" ht="27" customHeight="1" x14ac:dyDescent="0.4">
      <c r="A84" s="472" t="s">
        <v>52</v>
      </c>
      <c r="B84" s="479">
        <v>154.46</v>
      </c>
      <c r="C84" s="679" t="s">
        <v>111</v>
      </c>
      <c r="D84" s="680"/>
      <c r="E84" s="680"/>
      <c r="F84" s="680"/>
      <c r="G84" s="680"/>
      <c r="H84" s="681"/>
      <c r="I84" s="475"/>
      <c r="J84" s="475"/>
      <c r="K84" s="475"/>
      <c r="L84" s="475"/>
    </row>
    <row r="85" spans="1:12" s="14" customFormat="1" ht="27" customHeight="1" x14ac:dyDescent="0.4">
      <c r="A85" s="472" t="s">
        <v>54</v>
      </c>
      <c r="B85" s="479">
        <v>165.23</v>
      </c>
      <c r="C85" s="679" t="s">
        <v>112</v>
      </c>
      <c r="D85" s="680"/>
      <c r="E85" s="680"/>
      <c r="F85" s="680"/>
      <c r="G85" s="680"/>
      <c r="H85" s="681"/>
      <c r="I85" s="475"/>
      <c r="J85" s="475"/>
      <c r="K85" s="475"/>
      <c r="L85" s="475"/>
    </row>
    <row r="86" spans="1:12" s="14" customFormat="1" ht="18.75" x14ac:dyDescent="0.3">
      <c r="A86" s="472"/>
      <c r="B86" s="482"/>
      <c r="C86" s="483"/>
      <c r="D86" s="483"/>
      <c r="E86" s="483"/>
      <c r="F86" s="483"/>
      <c r="G86" s="483"/>
      <c r="H86" s="483"/>
      <c r="I86" s="475"/>
      <c r="J86" s="475"/>
      <c r="K86" s="475"/>
      <c r="L86" s="475"/>
    </row>
    <row r="87" spans="1:12" s="14" customFormat="1" ht="18.75" x14ac:dyDescent="0.3">
      <c r="A87" s="472" t="s">
        <v>56</v>
      </c>
      <c r="B87" s="484">
        <f>B84/B85</f>
        <v>0.93481813230042976</v>
      </c>
      <c r="C87" s="462" t="s">
        <v>57</v>
      </c>
      <c r="D87" s="462"/>
      <c r="E87" s="462"/>
      <c r="F87" s="462"/>
      <c r="G87" s="462"/>
      <c r="I87" s="475"/>
      <c r="J87" s="475"/>
      <c r="K87" s="475"/>
      <c r="L87" s="475"/>
    </row>
    <row r="88" spans="1:12" ht="19.5" customHeight="1" x14ac:dyDescent="0.3">
      <c r="A88" s="470"/>
      <c r="B88" s="470"/>
    </row>
    <row r="89" spans="1:12" ht="27" customHeight="1" x14ac:dyDescent="0.4">
      <c r="A89" s="485" t="s">
        <v>58</v>
      </c>
      <c r="B89" s="486">
        <v>50</v>
      </c>
      <c r="D89" s="571" t="s">
        <v>59</v>
      </c>
      <c r="E89" s="572"/>
      <c r="F89" s="682" t="s">
        <v>60</v>
      </c>
      <c r="G89" s="683"/>
    </row>
    <row r="90" spans="1:12" ht="27" customHeight="1" x14ac:dyDescent="0.4">
      <c r="A90" s="487" t="s">
        <v>61</v>
      </c>
      <c r="B90" s="488">
        <v>1</v>
      </c>
      <c r="C90" s="573" t="s">
        <v>62</v>
      </c>
      <c r="D90" s="490" t="s">
        <v>63</v>
      </c>
      <c r="E90" s="491" t="s">
        <v>64</v>
      </c>
      <c r="F90" s="490" t="s">
        <v>63</v>
      </c>
      <c r="G90" s="574" t="s">
        <v>64</v>
      </c>
      <c r="I90" s="493" t="s">
        <v>65</v>
      </c>
    </row>
    <row r="91" spans="1:12" ht="26.25" customHeight="1" x14ac:dyDescent="0.4">
      <c r="A91" s="487" t="s">
        <v>66</v>
      </c>
      <c r="B91" s="488">
        <v>1</v>
      </c>
      <c r="C91" s="575">
        <v>1</v>
      </c>
      <c r="D91" s="655">
        <v>68446807</v>
      </c>
      <c r="E91" s="496">
        <f>IF(ISBLANK(D91),"-",$D$101/$D$98*D91)</f>
        <v>76648162.025253266</v>
      </c>
      <c r="F91" s="644">
        <v>71528692</v>
      </c>
      <c r="G91" s="497">
        <f>IF(ISBLANK(F91),"-",$D$101/$F$98*F91)</f>
        <v>74282339.5779576</v>
      </c>
      <c r="I91" s="498"/>
    </row>
    <row r="92" spans="1:12" ht="26.25" customHeight="1" x14ac:dyDescent="0.4">
      <c r="A92" s="487" t="s">
        <v>67</v>
      </c>
      <c r="B92" s="488">
        <v>1</v>
      </c>
      <c r="C92" s="559">
        <v>2</v>
      </c>
      <c r="D92" s="655">
        <v>68536293</v>
      </c>
      <c r="E92" s="501">
        <f>IF(ISBLANK(D92),"-",$D$101/$D$98*D92)</f>
        <v>76748370.314399481</v>
      </c>
      <c r="F92" s="645">
        <v>71889558</v>
      </c>
      <c r="G92" s="502">
        <f>IF(ISBLANK(F92),"-",$D$101/$F$98*F92)</f>
        <v>74657097.874308661</v>
      </c>
      <c r="I92" s="684">
        <f>ABS((F96/D96*D95)-F95)/D95</f>
        <v>3.024629541410143E-2</v>
      </c>
    </row>
    <row r="93" spans="1:12" ht="26.25" customHeight="1" x14ac:dyDescent="0.4">
      <c r="A93" s="487" t="s">
        <v>68</v>
      </c>
      <c r="B93" s="488">
        <v>1</v>
      </c>
      <c r="C93" s="559">
        <v>3</v>
      </c>
      <c r="D93" s="656">
        <v>68771923</v>
      </c>
      <c r="E93" s="501">
        <f>IF(ISBLANK(D93),"-",$D$101/$D$98*D93)</f>
        <v>77012233.702767774</v>
      </c>
      <c r="F93" s="645">
        <v>72225932</v>
      </c>
      <c r="G93" s="502">
        <f>IF(ISBLANK(F93),"-",$D$101/$F$98*F93)</f>
        <v>75006421.2995601</v>
      </c>
      <c r="I93" s="684"/>
    </row>
    <row r="94" spans="1:12" ht="27" customHeight="1" x14ac:dyDescent="0.4">
      <c r="A94" s="487" t="s">
        <v>69</v>
      </c>
      <c r="B94" s="488">
        <v>1</v>
      </c>
      <c r="C94" s="576">
        <v>4</v>
      </c>
      <c r="D94" s="577"/>
      <c r="E94" s="506" t="str">
        <f>IF(ISBLANK(D94),"-",$D$101/$D$98*D94)</f>
        <v>-</v>
      </c>
      <c r="F94" s="577"/>
      <c r="G94" s="507" t="str">
        <f>IF(ISBLANK(F94),"-",$D$101/$F$98*F94)</f>
        <v>-</v>
      </c>
      <c r="I94" s="508"/>
    </row>
    <row r="95" spans="1:12" ht="27" customHeight="1" x14ac:dyDescent="0.4">
      <c r="A95" s="487" t="s">
        <v>70</v>
      </c>
      <c r="B95" s="488">
        <v>1</v>
      </c>
      <c r="C95" s="578" t="s">
        <v>71</v>
      </c>
      <c r="D95" s="579">
        <f>AVERAGE(D91:D94)</f>
        <v>68585007.666666672</v>
      </c>
      <c r="E95" s="511">
        <f>AVERAGE(E91:E94)</f>
        <v>76802922.014140174</v>
      </c>
      <c r="F95" s="580">
        <f>AVERAGE(F91:F94)</f>
        <v>71881394</v>
      </c>
      <c r="G95" s="581">
        <f>AVERAGE(G91:G94)</f>
        <v>74648619.58394213</v>
      </c>
    </row>
    <row r="96" spans="1:12" ht="26.25" customHeight="1" x14ac:dyDescent="0.4">
      <c r="A96" s="487" t="s">
        <v>72</v>
      </c>
      <c r="B96" s="473">
        <v>1</v>
      </c>
      <c r="C96" s="582" t="s">
        <v>113</v>
      </c>
      <c r="D96" s="654">
        <v>14.43</v>
      </c>
      <c r="E96" s="503"/>
      <c r="F96" s="652">
        <v>15.56</v>
      </c>
    </row>
    <row r="97" spans="1:10" ht="26.25" customHeight="1" x14ac:dyDescent="0.4">
      <c r="A97" s="487" t="s">
        <v>74</v>
      </c>
      <c r="B97" s="473">
        <v>1</v>
      </c>
      <c r="C97" s="583" t="s">
        <v>114</v>
      </c>
      <c r="D97" s="584">
        <f>D96*$B$87</f>
        <v>13.489425649095201</v>
      </c>
      <c r="E97" s="517"/>
      <c r="F97" s="516">
        <f>F96*$B$87</f>
        <v>14.545770138594687</v>
      </c>
    </row>
    <row r="98" spans="1:10" ht="19.5" customHeight="1" x14ac:dyDescent="0.3">
      <c r="A98" s="487" t="s">
        <v>76</v>
      </c>
      <c r="B98" s="585">
        <f>(B97/B96)*(B95/B94)*(B93/B92)*(B91/B90)*B89</f>
        <v>50</v>
      </c>
      <c r="C98" s="583" t="s">
        <v>115</v>
      </c>
      <c r="D98" s="586">
        <f>D97*$B$83/100</f>
        <v>13.394999669551535</v>
      </c>
      <c r="E98" s="520"/>
      <c r="F98" s="519">
        <f>F97*$B$83/100</f>
        <v>14.443949747624524</v>
      </c>
    </row>
    <row r="99" spans="1:10" ht="19.5" customHeight="1" x14ac:dyDescent="0.3">
      <c r="A99" s="670" t="s">
        <v>78</v>
      </c>
      <c r="B99" s="685"/>
      <c r="C99" s="583" t="s">
        <v>116</v>
      </c>
      <c r="D99" s="587">
        <f>D98/$B$98</f>
        <v>0.26789999339103071</v>
      </c>
      <c r="E99" s="520"/>
      <c r="F99" s="523">
        <f>F98/$B$98</f>
        <v>0.28887899495249048</v>
      </c>
      <c r="G99" s="588"/>
      <c r="H99" s="513"/>
    </row>
    <row r="100" spans="1:10" ht="19.5" customHeight="1" x14ac:dyDescent="0.3">
      <c r="A100" s="672"/>
      <c r="B100" s="686"/>
      <c r="C100" s="583" t="s">
        <v>80</v>
      </c>
      <c r="D100" s="589">
        <f>$B$56/$B$116</f>
        <v>0.3</v>
      </c>
      <c r="F100" s="528"/>
      <c r="G100" s="590"/>
      <c r="H100" s="513"/>
    </row>
    <row r="101" spans="1:10" ht="18.75" x14ac:dyDescent="0.3">
      <c r="C101" s="583" t="s">
        <v>81</v>
      </c>
      <c r="D101" s="584">
        <f>D100*$B$98</f>
        <v>15</v>
      </c>
      <c r="F101" s="528"/>
      <c r="G101" s="588"/>
      <c r="H101" s="513"/>
    </row>
    <row r="102" spans="1:10" ht="19.5" customHeight="1" x14ac:dyDescent="0.3">
      <c r="C102" s="591" t="s">
        <v>82</v>
      </c>
      <c r="D102" s="592">
        <f>D101/B34</f>
        <v>15</v>
      </c>
      <c r="F102" s="532"/>
      <c r="G102" s="588"/>
      <c r="H102" s="513"/>
      <c r="J102" s="593"/>
    </row>
    <row r="103" spans="1:10" ht="18.75" x14ac:dyDescent="0.3">
      <c r="C103" s="594" t="s">
        <v>117</v>
      </c>
      <c r="D103" s="595">
        <f>AVERAGE(E91:E94,G91:G94)</f>
        <v>75725770.799041152</v>
      </c>
      <c r="F103" s="532"/>
      <c r="G103" s="596"/>
      <c r="H103" s="513"/>
      <c r="J103" s="597"/>
    </row>
    <row r="104" spans="1:10" ht="18.75" x14ac:dyDescent="0.3">
      <c r="C104" s="562" t="s">
        <v>84</v>
      </c>
      <c r="D104" s="598">
        <f>STDEV(E91:E94,G91:G94)/D103</f>
        <v>1.5950330830350794E-2</v>
      </c>
      <c r="F104" s="532"/>
      <c r="G104" s="588"/>
      <c r="H104" s="513"/>
      <c r="J104" s="597"/>
    </row>
    <row r="105" spans="1:10" ht="19.5" customHeight="1" x14ac:dyDescent="0.3">
      <c r="C105" s="564" t="s">
        <v>20</v>
      </c>
      <c r="D105" s="599">
        <f>COUNT(E91:E94,G91:G94)</f>
        <v>6</v>
      </c>
      <c r="F105" s="532"/>
      <c r="G105" s="588"/>
      <c r="H105" s="513"/>
      <c r="J105" s="597"/>
    </row>
    <row r="106" spans="1:10" ht="19.5" customHeight="1" x14ac:dyDescent="0.3">
      <c r="A106" s="536"/>
      <c r="B106" s="536"/>
      <c r="C106" s="536"/>
      <c r="D106" s="536"/>
      <c r="E106" s="536"/>
    </row>
    <row r="107" spans="1:10" ht="26.25" customHeight="1" x14ac:dyDescent="0.4">
      <c r="A107" s="485" t="s">
        <v>118</v>
      </c>
      <c r="B107" s="486">
        <v>1000</v>
      </c>
      <c r="C107" s="600" t="s">
        <v>119</v>
      </c>
      <c r="D107" s="601" t="s">
        <v>63</v>
      </c>
      <c r="E107" s="602" t="s">
        <v>120</v>
      </c>
      <c r="F107" s="603" t="s">
        <v>121</v>
      </c>
    </row>
    <row r="108" spans="1:10" ht="26.25" customHeight="1" x14ac:dyDescent="0.4">
      <c r="A108" s="487" t="s">
        <v>122</v>
      </c>
      <c r="B108" s="488">
        <v>1</v>
      </c>
      <c r="C108" s="604">
        <v>1</v>
      </c>
      <c r="D108" s="605">
        <v>74684082</v>
      </c>
      <c r="E108" s="636">
        <f t="shared" ref="E108:E113" si="1">IF(ISBLANK(D108),"-",D108/$D$103*$D$100*$B$116)</f>
        <v>295.87317981164341</v>
      </c>
      <c r="F108" s="606">
        <f t="shared" ref="F108:F113" si="2">IF(ISBLANK(D108), "-", E108/$B$56)</f>
        <v>0.98624393270547805</v>
      </c>
    </row>
    <row r="109" spans="1:10" ht="26.25" customHeight="1" x14ac:dyDescent="0.4">
      <c r="A109" s="487" t="s">
        <v>95</v>
      </c>
      <c r="B109" s="488">
        <v>1</v>
      </c>
      <c r="C109" s="604">
        <v>2</v>
      </c>
      <c r="D109" s="605">
        <v>71600595</v>
      </c>
      <c r="E109" s="637">
        <f t="shared" si="1"/>
        <v>283.65744281432899</v>
      </c>
      <c r="F109" s="607">
        <f t="shared" si="2"/>
        <v>0.94552480938109662</v>
      </c>
    </row>
    <row r="110" spans="1:10" ht="26.25" customHeight="1" x14ac:dyDescent="0.4">
      <c r="A110" s="487" t="s">
        <v>96</v>
      </c>
      <c r="B110" s="488">
        <v>1</v>
      </c>
      <c r="C110" s="604">
        <v>3</v>
      </c>
      <c r="D110" s="605">
        <v>72318581</v>
      </c>
      <c r="E110" s="637">
        <f t="shared" si="1"/>
        <v>286.50186153370538</v>
      </c>
      <c r="F110" s="607">
        <f t="shared" si="2"/>
        <v>0.95500620511235124</v>
      </c>
    </row>
    <row r="111" spans="1:10" ht="26.25" customHeight="1" x14ac:dyDescent="0.4">
      <c r="A111" s="487" t="s">
        <v>97</v>
      </c>
      <c r="B111" s="488">
        <v>1</v>
      </c>
      <c r="C111" s="604">
        <v>4</v>
      </c>
      <c r="D111" s="605">
        <v>75236328</v>
      </c>
      <c r="E111" s="637">
        <f t="shared" si="1"/>
        <v>298.06099247108347</v>
      </c>
      <c r="F111" s="607">
        <f t="shared" si="2"/>
        <v>0.99353664157027821</v>
      </c>
    </row>
    <row r="112" spans="1:10" ht="26.25" customHeight="1" x14ac:dyDescent="0.4">
      <c r="A112" s="487" t="s">
        <v>98</v>
      </c>
      <c r="B112" s="488">
        <v>1</v>
      </c>
      <c r="C112" s="604">
        <v>5</v>
      </c>
      <c r="D112" s="605">
        <v>70008892</v>
      </c>
      <c r="E112" s="637">
        <f t="shared" si="1"/>
        <v>277.35165160267923</v>
      </c>
      <c r="F112" s="607">
        <f t="shared" si="2"/>
        <v>0.92450550534226406</v>
      </c>
    </row>
    <row r="113" spans="1:10" ht="26.25" customHeight="1" x14ac:dyDescent="0.4">
      <c r="A113" s="487" t="s">
        <v>100</v>
      </c>
      <c r="B113" s="488">
        <v>1</v>
      </c>
      <c r="C113" s="608">
        <v>6</v>
      </c>
      <c r="D113" s="609">
        <v>70560293</v>
      </c>
      <c r="E113" s="638">
        <f t="shared" si="1"/>
        <v>279.53611665670928</v>
      </c>
      <c r="F113" s="610">
        <f t="shared" si="2"/>
        <v>0.93178705552236429</v>
      </c>
    </row>
    <row r="114" spans="1:10" ht="26.25" customHeight="1" x14ac:dyDescent="0.4">
      <c r="A114" s="487" t="s">
        <v>101</v>
      </c>
      <c r="B114" s="488">
        <v>1</v>
      </c>
      <c r="C114" s="604"/>
      <c r="D114" s="559"/>
      <c r="E114" s="461"/>
      <c r="F114" s="611"/>
    </row>
    <row r="115" spans="1:10" ht="26.25" customHeight="1" x14ac:dyDescent="0.4">
      <c r="A115" s="487" t="s">
        <v>102</v>
      </c>
      <c r="B115" s="488">
        <v>1</v>
      </c>
      <c r="C115" s="604"/>
      <c r="D115" s="612" t="s">
        <v>71</v>
      </c>
      <c r="E115" s="640">
        <f>AVERAGE(E108:E113)</f>
        <v>286.83020748169162</v>
      </c>
      <c r="F115" s="613">
        <f>AVERAGE(F108:F113)</f>
        <v>0.95610069160563871</v>
      </c>
    </row>
    <row r="116" spans="1:10" ht="27" customHeight="1" x14ac:dyDescent="0.4">
      <c r="A116" s="487" t="s">
        <v>103</v>
      </c>
      <c r="B116" s="518">
        <f>(B115/B114)*(B113/B112)*(B111/B110)*(B109/B108)*B107</f>
        <v>1000</v>
      </c>
      <c r="C116" s="614"/>
      <c r="D116" s="578" t="s">
        <v>84</v>
      </c>
      <c r="E116" s="615">
        <f>STDEV(E108:E113)/E115</f>
        <v>2.9629207553673785E-2</v>
      </c>
      <c r="F116" s="615">
        <f>STDEV(F108:F113)/F115</f>
        <v>2.9629207553673789E-2</v>
      </c>
      <c r="I116" s="461"/>
    </row>
    <row r="117" spans="1:10" ht="27" customHeight="1" x14ac:dyDescent="0.4">
      <c r="A117" s="670" t="s">
        <v>78</v>
      </c>
      <c r="B117" s="671"/>
      <c r="C117" s="616"/>
      <c r="D117" s="617" t="s">
        <v>20</v>
      </c>
      <c r="E117" s="618">
        <f>COUNT(E108:E113)</f>
        <v>6</v>
      </c>
      <c r="F117" s="618">
        <f>COUNT(F108:F113)</f>
        <v>6</v>
      </c>
      <c r="I117" s="461"/>
      <c r="J117" s="597"/>
    </row>
    <row r="118" spans="1:10" ht="19.5" customHeight="1" x14ac:dyDescent="0.3">
      <c r="A118" s="672"/>
      <c r="B118" s="673"/>
      <c r="C118" s="461"/>
      <c r="D118" s="461"/>
      <c r="E118" s="461"/>
      <c r="F118" s="559"/>
      <c r="G118" s="461"/>
      <c r="H118" s="461"/>
      <c r="I118" s="461"/>
    </row>
    <row r="119" spans="1:10" ht="18.75" x14ac:dyDescent="0.3">
      <c r="A119" s="627"/>
      <c r="B119" s="483"/>
      <c r="C119" s="461"/>
      <c r="D119" s="461"/>
      <c r="E119" s="461"/>
      <c r="F119" s="559"/>
      <c r="G119" s="461"/>
      <c r="H119" s="461"/>
      <c r="I119" s="461"/>
    </row>
    <row r="120" spans="1:10" ht="26.25" customHeight="1" x14ac:dyDescent="0.4">
      <c r="A120" s="471" t="s">
        <v>106</v>
      </c>
      <c r="B120" s="566" t="s">
        <v>123</v>
      </c>
      <c r="C120" s="674" t="str">
        <f>B20</f>
        <v>Efavirenz, Tenofovir Disproxil Fumarate, Lamivudine</v>
      </c>
      <c r="D120" s="674"/>
      <c r="E120" s="567" t="s">
        <v>124</v>
      </c>
      <c r="F120" s="567"/>
      <c r="G120" s="568">
        <f>F115</f>
        <v>0.95610069160563871</v>
      </c>
      <c r="H120" s="461"/>
      <c r="I120" s="461"/>
    </row>
    <row r="121" spans="1:10" ht="19.5" customHeight="1" x14ac:dyDescent="0.3">
      <c r="A121" s="619"/>
      <c r="B121" s="619"/>
      <c r="C121" s="620"/>
      <c r="D121" s="620"/>
      <c r="E121" s="620"/>
      <c r="F121" s="620"/>
      <c r="G121" s="620"/>
      <c r="H121" s="620"/>
    </row>
    <row r="122" spans="1:10" ht="18.75" x14ac:dyDescent="0.3">
      <c r="B122" s="675" t="s">
        <v>26</v>
      </c>
      <c r="C122" s="675"/>
      <c r="E122" s="573" t="s">
        <v>27</v>
      </c>
      <c r="F122" s="621"/>
      <c r="G122" s="675" t="s">
        <v>28</v>
      </c>
      <c r="H122" s="675"/>
    </row>
    <row r="123" spans="1:10" ht="69.95" customHeight="1" x14ac:dyDescent="0.3">
      <c r="A123" s="622" t="s">
        <v>29</v>
      </c>
      <c r="B123" s="623"/>
      <c r="C123" s="657" t="s">
        <v>132</v>
      </c>
      <c r="E123" s="657" t="s">
        <v>136</v>
      </c>
      <c r="F123" s="461"/>
      <c r="G123" s="624"/>
      <c r="H123" s="624"/>
    </row>
    <row r="124" spans="1:10" ht="69.95" customHeight="1" x14ac:dyDescent="0.3">
      <c r="A124" s="622" t="s">
        <v>30</v>
      </c>
      <c r="B124" s="625"/>
      <c r="C124" s="625"/>
      <c r="E124" s="625"/>
      <c r="F124" s="461"/>
      <c r="G124" s="626"/>
      <c r="H124" s="626"/>
    </row>
    <row r="125" spans="1:10" ht="18.75" x14ac:dyDescent="0.3">
      <c r="A125" s="558"/>
      <c r="B125" s="558"/>
      <c r="C125" s="559"/>
      <c r="D125" s="559"/>
      <c r="E125" s="559"/>
      <c r="F125" s="563"/>
      <c r="G125" s="559"/>
      <c r="H125" s="559"/>
      <c r="I125" s="461"/>
    </row>
    <row r="126" spans="1:10" ht="18.75" x14ac:dyDescent="0.3">
      <c r="A126" s="558"/>
      <c r="B126" s="558"/>
      <c r="C126" s="559"/>
      <c r="D126" s="559"/>
      <c r="E126" s="559"/>
      <c r="F126" s="563"/>
      <c r="G126" s="559"/>
      <c r="H126" s="559"/>
      <c r="I126" s="461"/>
    </row>
    <row r="127" spans="1:10" ht="18.75" x14ac:dyDescent="0.3">
      <c r="A127" s="558"/>
      <c r="B127" s="558"/>
      <c r="C127" s="559"/>
      <c r="D127" s="559"/>
      <c r="E127" s="559"/>
      <c r="F127" s="563"/>
      <c r="G127" s="559"/>
      <c r="H127" s="559"/>
      <c r="I127" s="461"/>
    </row>
    <row r="128" spans="1:10" ht="18.75" x14ac:dyDescent="0.3">
      <c r="A128" s="558"/>
      <c r="B128" s="558"/>
      <c r="C128" s="559"/>
      <c r="D128" s="559"/>
      <c r="E128" s="559"/>
      <c r="F128" s="563"/>
      <c r="G128" s="559"/>
      <c r="H128" s="559"/>
      <c r="I128" s="461"/>
    </row>
    <row r="129" spans="1:9" ht="18.75" x14ac:dyDescent="0.3">
      <c r="A129" s="558"/>
      <c r="B129" s="558"/>
      <c r="C129" s="559"/>
      <c r="D129" s="559"/>
      <c r="E129" s="559"/>
      <c r="F129" s="563"/>
      <c r="G129" s="559"/>
      <c r="H129" s="559"/>
      <c r="I129" s="461"/>
    </row>
    <row r="130" spans="1:9" ht="18.75" x14ac:dyDescent="0.3">
      <c r="A130" s="558"/>
      <c r="B130" s="558"/>
      <c r="C130" s="559"/>
      <c r="D130" s="559"/>
      <c r="E130" s="559"/>
      <c r="F130" s="563"/>
      <c r="G130" s="559"/>
      <c r="H130" s="559"/>
      <c r="I130" s="461"/>
    </row>
    <row r="131" spans="1:9" ht="18.75" x14ac:dyDescent="0.3">
      <c r="A131" s="558"/>
      <c r="B131" s="558"/>
      <c r="C131" s="559"/>
      <c r="D131" s="559"/>
      <c r="E131" s="559"/>
      <c r="F131" s="563"/>
      <c r="G131" s="559"/>
      <c r="H131" s="559"/>
      <c r="I131" s="461"/>
    </row>
    <row r="132" spans="1:9" ht="18.75" x14ac:dyDescent="0.3">
      <c r="A132" s="558"/>
      <c r="B132" s="558"/>
      <c r="C132" s="559"/>
      <c r="D132" s="559"/>
      <c r="E132" s="559"/>
      <c r="F132" s="563"/>
      <c r="G132" s="559"/>
      <c r="H132" s="559"/>
      <c r="I132" s="461"/>
    </row>
    <row r="133" spans="1:9" ht="18.75" x14ac:dyDescent="0.3">
      <c r="A133" s="558"/>
      <c r="B133" s="558"/>
      <c r="C133" s="559"/>
      <c r="D133" s="559"/>
      <c r="E133" s="559"/>
      <c r="F133" s="563"/>
      <c r="G133" s="559"/>
      <c r="H133" s="559"/>
      <c r="I133" s="461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EFV</vt:lpstr>
      <vt:lpstr>SST 3TC</vt:lpstr>
      <vt:lpstr>SST TDF</vt:lpstr>
      <vt:lpstr>Uniformity</vt:lpstr>
      <vt:lpstr>Efavirenz</vt:lpstr>
      <vt:lpstr>Lamivudine</vt:lpstr>
      <vt:lpstr>Tenofovir Disoproxil</vt:lpstr>
      <vt:lpstr>Efavirenz!Print_Area</vt:lpstr>
      <vt:lpstr>Lamivudine!Print_Area</vt:lpstr>
      <vt:lpstr>'Tenofovir Disoproxil'!Print_Area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2015-11-04T07:16:25Z</cp:lastPrinted>
  <dcterms:created xsi:type="dcterms:W3CDTF">2005-07-05T10:19:27Z</dcterms:created>
  <dcterms:modified xsi:type="dcterms:W3CDTF">2015-11-04T07:43:10Z</dcterms:modified>
</cp:coreProperties>
</file>