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1"/>
  </bookViews>
  <sheets>
    <sheet name="SST" sheetId="1" r:id="rId1"/>
    <sheet name="Uniformity" sheetId="2" r:id="rId2"/>
    <sheet name="ornidazole" sheetId="3" r:id="rId3"/>
  </sheets>
  <definedNames>
    <definedName name="_xlnm.Print_Area" localSheetId="2">ornidazole!$A$1:$H$125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D100" i="3" l="1"/>
  <c r="H73" i="3"/>
  <c r="H72" i="3"/>
  <c r="H60" i="3"/>
  <c r="G57" i="3"/>
  <c r="G56" i="3"/>
  <c r="G60" i="3"/>
  <c r="F42" i="3"/>
  <c r="D42" i="3"/>
  <c r="D50" i="3"/>
  <c r="B21" i="1" l="1"/>
  <c r="C120" i="3"/>
  <c r="B116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B34" i="3"/>
  <c r="D44" i="3" s="1"/>
  <c r="B30" i="3"/>
  <c r="C46" i="2"/>
  <c r="D50" i="2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D97" i="3"/>
  <c r="D98" i="3" s="1"/>
  <c r="I39" i="3"/>
  <c r="D49" i="3"/>
  <c r="D45" i="3"/>
  <c r="D46" i="3" s="1"/>
  <c r="F98" i="3"/>
  <c r="D27" i="2"/>
  <c r="D31" i="2"/>
  <c r="D35" i="2"/>
  <c r="D39" i="2"/>
  <c r="D43" i="2"/>
  <c r="C49" i="2"/>
  <c r="F44" i="3"/>
  <c r="F45" i="3" s="1"/>
  <c r="E94" i="3"/>
  <c r="C50" i="2"/>
  <c r="D24" i="2"/>
  <c r="D28" i="2"/>
  <c r="D32" i="2"/>
  <c r="D36" i="2"/>
  <c r="D40" i="2"/>
  <c r="D49" i="2"/>
  <c r="B57" i="3"/>
  <c r="B69" i="3" s="1"/>
  <c r="D29" i="2"/>
  <c r="D33" i="2"/>
  <c r="D37" i="2"/>
  <c r="D41" i="2"/>
  <c r="D26" i="2"/>
  <c r="D30" i="2"/>
  <c r="D34" i="2"/>
  <c r="D38" i="2"/>
  <c r="D42" i="2"/>
  <c r="B49" i="2"/>
  <c r="G93" i="3" l="1"/>
  <c r="E92" i="3"/>
  <c r="E40" i="3"/>
  <c r="E41" i="3"/>
  <c r="E39" i="3"/>
  <c r="E38" i="3"/>
  <c r="F46" i="3"/>
  <c r="G41" i="3"/>
  <c r="G40" i="3"/>
  <c r="F99" i="3"/>
  <c r="G91" i="3"/>
  <c r="G94" i="3"/>
  <c r="G39" i="3"/>
  <c r="D99" i="3"/>
  <c r="E93" i="3"/>
  <c r="G38" i="3"/>
  <c r="E91" i="3"/>
  <c r="G92" i="3"/>
  <c r="E42" i="3" l="1"/>
  <c r="G68" i="3"/>
  <c r="H68" i="3" s="1"/>
  <c r="D52" i="3"/>
  <c r="G95" i="3"/>
  <c r="G42" i="3"/>
  <c r="E95" i="3"/>
  <c r="D105" i="3"/>
  <c r="D103" i="3"/>
  <c r="G63" i="3" l="1"/>
  <c r="H63" i="3" s="1"/>
  <c r="D51" i="3"/>
  <c r="G64" i="3"/>
  <c r="H64" i="3" s="1"/>
  <c r="G65" i="3"/>
  <c r="H65" i="3" s="1"/>
  <c r="G71" i="3"/>
  <c r="H71" i="3" s="1"/>
  <c r="G66" i="3"/>
  <c r="H66" i="3" s="1"/>
  <c r="G67" i="3"/>
  <c r="H67" i="3" s="1"/>
  <c r="G69" i="3"/>
  <c r="H69" i="3" s="1"/>
  <c r="G62" i="3"/>
  <c r="H62" i="3" s="1"/>
  <c r="G61" i="3"/>
  <c r="H61" i="3" s="1"/>
  <c r="G70" i="3"/>
  <c r="H70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F117" i="3" l="1"/>
  <c r="F115" i="3"/>
  <c r="G76" i="3"/>
  <c r="G120" i="3" l="1"/>
  <c r="F116" i="3"/>
</calcChain>
</file>

<file path=xl/sharedStrings.xml><?xml version="1.0" encoding="utf-8"?>
<sst xmlns="http://schemas.openxmlformats.org/spreadsheetml/2006/main" count="233" uniqueCount="126">
  <si>
    <t>HPLC System Suitability Report</t>
  </si>
  <si>
    <t>Analysis Data</t>
  </si>
  <si>
    <t>Assay</t>
  </si>
  <si>
    <t>Sample(s)</t>
  </si>
  <si>
    <t>Reference Substance:</t>
  </si>
  <si>
    <t>ORGYL 500 MG TABLETS</t>
  </si>
  <si>
    <t>% age Purity:</t>
  </si>
  <si>
    <t>NDQD201509268</t>
  </si>
  <si>
    <t>Weight (mg):</t>
  </si>
  <si>
    <t>Ornidazole</t>
  </si>
  <si>
    <t>Standard Conc (mg/mL):</t>
  </si>
  <si>
    <t>Each film coated Tablet contains:
Ornidazole 500 mg</t>
  </si>
  <si>
    <t>2015-09-09 12:21:52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</si>
  <si>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</si>
  <si>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</si>
  <si>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</si>
  <si>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</si>
  <si>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</si>
  <si>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</si>
  <si>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</si>
  <si>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</si>
  <si>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</si>
  <si>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</si>
  <si>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</si>
  <si>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</si>
  <si>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</si>
  <si>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</si>
  <si>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</si>
  <si>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</si>
  <si>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</si>
  <si>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</si>
  <si>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</si>
  <si>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</si>
  <si>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</si>
  <si>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</si>
  <si>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</si>
  <si>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</si>
  <si>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</si>
  <si>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</si>
  <si>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</si>
  <si>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</si>
  <si>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</si>
  <si>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</si>
  <si>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</si>
  <si>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</si>
  <si>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</si>
  <si>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</si>
  <si>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</si>
  <si>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</si>
  <si>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</si>
  <si>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</si>
  <si>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</si>
  <si>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</si>
  <si>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</si>
  <si>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</si>
  <si>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</si>
  <si>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</si>
  <si>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</si>
  <si>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</si>
  <si>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</si>
  <si>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</si>
  <si>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</si>
  <si>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</si>
  <si>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</si>
  <si>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</si>
  <si>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</si>
  <si>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</si>
  <si>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</si>
  <si>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</si>
  <si>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</si>
  <si>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</si>
  <si>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</si>
  <si>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</si>
  <si>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</si>
  <si>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</si>
  <si>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</si>
  <si>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</si>
  <si>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</si>
  <si>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</si>
  <si>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</si>
  <si>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</si>
  <si>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</si>
  <si>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</si>
  <si>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</si>
  <si>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</si>
  <si>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</si>
  <si>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</si>
  <si>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</si>
  <si>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</si>
  <si>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</si>
  <si>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</si>
  <si>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</si>
  <si>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</si>
  <si>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</si>
  <si>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</si>
  <si>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</si>
  <si>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</si>
  <si>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</si>
  <si>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</si>
  <si>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</si>
  <si>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</si>
  <si>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</si>
  <si>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</si>
  <si>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</si>
  <si>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</si>
  <si>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</si>
  <si>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</si>
  <si>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</si>
  <si>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</si>
  <si>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</si>
  <si>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</si>
  <si>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</si>
  <si>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</si>
  <si>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</si>
  <si>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</si>
  <si>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</si>
  <si>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</si>
  <si>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</si>
  <si>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</si>
  <si>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</si>
  <si>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</si>
  <si>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</si>
  <si>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Each film coated Tablet contains: ornidazole 500mg
Ornidazole 500 mg</t>
  </si>
  <si>
    <t>O17 3</t>
  </si>
  <si>
    <t>Average Tablet  Weight (mg):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</si>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</sst>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3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2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6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8" xfId="0" applyNumberFormat="1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5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2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5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vertical="center" wrapText="1"/>
    </xf>
    <xf numFmtId="0" fontId="18" fillId="2" borderId="0" xfId="0" applyFont="1" applyFill="1" applyBorder="1"/>
    <xf numFmtId="0" fontId="11" fillId="2" borderId="0" xfId="0" applyFont="1" applyFill="1" applyBorder="1"/>
    <xf numFmtId="0" fontId="5" fillId="2" borderId="5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8" fillId="2" borderId="22" xfId="0" applyFont="1" applyFill="1" applyBorder="1"/>
    <xf numFmtId="10" fontId="15" fillId="2" borderId="2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3" fillId="3" borderId="44" xfId="0" applyFont="1" applyFill="1" applyBorder="1" applyAlignment="1" applyProtection="1">
      <alignment horizontal="center"/>
      <protection locked="0"/>
    </xf>
    <xf numFmtId="0" fontId="12" fillId="2" borderId="59" xfId="0" applyFont="1" applyFill="1" applyBorder="1" applyAlignment="1">
      <alignment horizontal="center"/>
    </xf>
    <xf numFmtId="0" fontId="12" fillId="2" borderId="60" xfId="0" applyFont="1" applyFill="1" applyBorder="1" applyAlignment="1">
      <alignment horizontal="center"/>
    </xf>
    <xf numFmtId="0" fontId="12" fillId="2" borderId="61" xfId="0" applyFont="1" applyFill="1" applyBorder="1" applyAlignment="1">
      <alignment horizontal="center"/>
    </xf>
    <xf numFmtId="0" fontId="12" fillId="2" borderId="62" xfId="0" applyFont="1" applyFill="1" applyBorder="1" applyAlignment="1">
      <alignment horizontal="center"/>
    </xf>
    <xf numFmtId="0" fontId="13" fillId="3" borderId="63" xfId="0" applyFont="1" applyFill="1" applyBorder="1" applyAlignment="1" applyProtection="1">
      <alignment horizontal="center"/>
      <protection locked="0"/>
    </xf>
    <xf numFmtId="171" fontId="11" fillId="2" borderId="64" xfId="0" applyNumberFormat="1" applyFont="1" applyFill="1" applyBorder="1" applyAlignment="1">
      <alignment horizontal="center"/>
    </xf>
    <xf numFmtId="0" fontId="13" fillId="3" borderId="65" xfId="0" applyFont="1" applyFill="1" applyBorder="1" applyAlignment="1" applyProtection="1">
      <alignment horizontal="center"/>
      <protection locked="0"/>
    </xf>
    <xf numFmtId="171" fontId="11" fillId="2" borderId="66" xfId="0" applyNumberFormat="1" applyFont="1" applyFill="1" applyBorder="1" applyAlignment="1">
      <alignment horizontal="center"/>
    </xf>
    <xf numFmtId="0" fontId="13" fillId="3" borderId="67" xfId="0" applyFont="1" applyFill="1" applyBorder="1" applyAlignment="1" applyProtection="1">
      <alignment horizontal="center"/>
      <protection locked="0"/>
    </xf>
    <xf numFmtId="171" fontId="11" fillId="2" borderId="68" xfId="0" applyNumberFormat="1" applyFont="1" applyFill="1" applyBorder="1" applyAlignment="1">
      <alignment horizontal="center"/>
    </xf>
    <xf numFmtId="1" fontId="12" fillId="6" borderId="69" xfId="0" applyNumberFormat="1" applyFont="1" applyFill="1" applyBorder="1" applyAlignment="1">
      <alignment horizontal="center"/>
    </xf>
    <xf numFmtId="171" fontId="12" fillId="6" borderId="70" xfId="0" applyNumberFormat="1" applyFont="1" applyFill="1" applyBorder="1" applyAlignment="1">
      <alignment horizontal="center"/>
    </xf>
    <xf numFmtId="2" fontId="11" fillId="6" borderId="14" xfId="0" applyNumberFormat="1" applyFont="1" applyFill="1" applyBorder="1" applyAlignment="1">
      <alignment horizontal="center"/>
    </xf>
    <xf numFmtId="171" fontId="12" fillId="7" borderId="71" xfId="0" applyNumberFormat="1" applyFont="1" applyFill="1" applyBorder="1" applyAlignment="1">
      <alignment horizontal="center"/>
    </xf>
    <xf numFmtId="10" fontId="11" fillId="6" borderId="72" xfId="0" applyNumberFormat="1" applyFont="1" applyFill="1" applyBorder="1" applyAlignment="1">
      <alignment horizontal="center"/>
    </xf>
    <xf numFmtId="0" fontId="11" fillId="7" borderId="73" xfId="0" applyFont="1" applyFill="1" applyBorder="1" applyAlignment="1">
      <alignment horizontal="center"/>
    </xf>
    <xf numFmtId="0" fontId="2" fillId="0" borderId="0" xfId="0" applyFont="1" applyFill="1"/>
    <xf numFmtId="1" fontId="11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 applyProtection="1">
      <alignment horizontal="center"/>
      <protection locked="0"/>
    </xf>
    <xf numFmtId="171" fontId="11" fillId="0" borderId="0" xfId="0" applyNumberFormat="1" applyFont="1" applyFill="1" applyAlignment="1">
      <alignment horizontal="center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2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G28" sqref="G2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70" t="s">
        <v>0</v>
      </c>
      <c r="B15" s="270"/>
      <c r="C15" s="270"/>
      <c r="D15" s="270"/>
      <c r="E15" s="27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75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98.57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24.21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B20/50*5/50</f>
        <v>4.8420000000000005E-2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23288510</v>
      </c>
      <c r="C24" s="18">
        <v>11098.1</v>
      </c>
      <c r="D24" s="19">
        <v>1.2</v>
      </c>
      <c r="E24" s="20">
        <v>4.9000000000000004</v>
      </c>
    </row>
    <row r="25" spans="1:6" ht="16.5" customHeight="1" x14ac:dyDescent="0.3">
      <c r="A25" s="17">
        <v>2</v>
      </c>
      <c r="B25" s="18">
        <v>23249095</v>
      </c>
      <c r="C25" s="18">
        <v>11143.9</v>
      </c>
      <c r="D25" s="19">
        <v>1.1000000000000001</v>
      </c>
      <c r="E25" s="19">
        <v>4.9000000000000004</v>
      </c>
    </row>
    <row r="26" spans="1:6" ht="16.5" customHeight="1" x14ac:dyDescent="0.3">
      <c r="A26" s="17">
        <v>3</v>
      </c>
      <c r="B26" s="18">
        <v>23328989</v>
      </c>
      <c r="C26" s="18">
        <v>11009.6</v>
      </c>
      <c r="D26" s="19">
        <v>1.1000000000000001</v>
      </c>
      <c r="E26" s="19">
        <v>4.9000000000000004</v>
      </c>
    </row>
    <row r="27" spans="1:6" ht="16.5" customHeight="1" x14ac:dyDescent="0.3">
      <c r="A27" s="17">
        <v>4</v>
      </c>
      <c r="B27" s="18">
        <v>23294272</v>
      </c>
      <c r="C27" s="18">
        <v>11059.2</v>
      </c>
      <c r="D27" s="19">
        <v>1.1000000000000001</v>
      </c>
      <c r="E27" s="19">
        <v>4.9000000000000004</v>
      </c>
    </row>
    <row r="28" spans="1:6" ht="16.5" customHeight="1" x14ac:dyDescent="0.3">
      <c r="A28" s="17">
        <v>5</v>
      </c>
      <c r="B28" s="18">
        <v>23301534</v>
      </c>
      <c r="C28" s="18">
        <v>11122.2</v>
      </c>
      <c r="D28" s="19">
        <v>1.1000000000000001</v>
      </c>
      <c r="E28" s="19">
        <v>4.9000000000000004</v>
      </c>
    </row>
    <row r="29" spans="1:6" ht="16.5" customHeight="1" x14ac:dyDescent="0.3">
      <c r="A29" s="17">
        <v>6</v>
      </c>
      <c r="B29" s="21">
        <v>23248732</v>
      </c>
      <c r="C29" s="21">
        <v>11045.6</v>
      </c>
      <c r="D29" s="22">
        <v>1.1000000000000001</v>
      </c>
      <c r="E29" s="22">
        <v>4.9000000000000004</v>
      </c>
    </row>
    <row r="30" spans="1:6" ht="16.5" customHeight="1" x14ac:dyDescent="0.3">
      <c r="A30" s="23" t="s">
        <v>18</v>
      </c>
      <c r="B30" s="24">
        <f>AVERAGE(B24:B29)</f>
        <v>23285188.666666668</v>
      </c>
      <c r="C30" s="25">
        <f>AVERAGE(C24:C29)</f>
        <v>11079.766666666668</v>
      </c>
      <c r="D30" s="26">
        <f>AVERAGE(D24:D29)</f>
        <v>1.1166666666666665</v>
      </c>
      <c r="E30" s="26">
        <f>AVERAGE(E24:E29)</f>
        <v>4.8999999999999995</v>
      </c>
    </row>
    <row r="31" spans="1:6" ht="16.5" customHeight="1" x14ac:dyDescent="0.3">
      <c r="A31" s="27" t="s">
        <v>19</v>
      </c>
      <c r="B31" s="28">
        <f>(STDEV(B24:B29)/B30)</f>
        <v>1.3459255203289824E-3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71" t="s">
        <v>26</v>
      </c>
      <c r="C59" s="27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workbookViewId="0">
      <selection activeCell="F29" sqref="F29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75" t="s">
        <v>31</v>
      </c>
      <c r="B11" s="276"/>
      <c r="C11" s="276"/>
      <c r="D11" s="276"/>
      <c r="E11" s="276"/>
      <c r="F11" s="277"/>
      <c r="G11" s="91"/>
    </row>
    <row r="12" spans="1:7" ht="16.5" customHeight="1" x14ac:dyDescent="0.3">
      <c r="A12" s="274" t="s">
        <v>32</v>
      </c>
      <c r="B12" s="274"/>
      <c r="C12" s="274"/>
      <c r="D12" s="274"/>
      <c r="E12" s="274"/>
      <c r="F12" s="274"/>
      <c r="G12" s="90"/>
    </row>
    <row r="14" spans="1:7" ht="16.5" customHeight="1" x14ac:dyDescent="0.3">
      <c r="A14" s="279" t="s">
        <v>33</v>
      </c>
      <c r="B14" s="279"/>
      <c r="C14" s="60" t="s">
        <v>5</v>
      </c>
    </row>
    <row r="15" spans="1:7" ht="16.5" customHeight="1" x14ac:dyDescent="0.3">
      <c r="A15" s="279" t="s">
        <v>34</v>
      </c>
      <c r="B15" s="279"/>
      <c r="C15" s="60" t="s">
        <v>7</v>
      </c>
    </row>
    <row r="16" spans="1:7" ht="16.5" customHeight="1" x14ac:dyDescent="0.3">
      <c r="A16" s="279" t="s">
        <v>35</v>
      </c>
      <c r="B16" s="279"/>
      <c r="C16" s="60" t="s">
        <v>9</v>
      </c>
    </row>
    <row r="17" spans="1:5" ht="16.5" customHeight="1" x14ac:dyDescent="0.3">
      <c r="A17" s="279" t="s">
        <v>36</v>
      </c>
      <c r="B17" s="279"/>
      <c r="C17" s="60" t="s">
        <v>11</v>
      </c>
    </row>
    <row r="18" spans="1:5" ht="16.5" customHeight="1" x14ac:dyDescent="0.3">
      <c r="A18" s="279" t="s">
        <v>37</v>
      </c>
      <c r="B18" s="279"/>
      <c r="C18" s="95" t="s">
        <v>12</v>
      </c>
    </row>
    <row r="19" spans="1:5" ht="16.5" customHeight="1" x14ac:dyDescent="0.3">
      <c r="A19" s="279" t="s">
        <v>38</v>
      </c>
      <c r="B19" s="279"/>
      <c r="C19" s="95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74" t="s">
        <v>1</v>
      </c>
      <c r="B21" s="274"/>
      <c r="C21" s="59" t="s">
        <v>39</v>
      </c>
      <c r="D21" s="66"/>
    </row>
    <row r="22" spans="1:5" ht="15.75" customHeight="1" x14ac:dyDescent="0.3">
      <c r="A22" s="278"/>
      <c r="B22" s="278"/>
      <c r="C22" s="57"/>
      <c r="D22" s="278"/>
      <c r="E22" s="27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350">
        <v>666.6</v>
      </c>
      <c r="D24" s="87">
        <f t="shared" ref="D24:D43" si="0">(C24-$C$46)/$C$46</f>
        <v>-1.2765478485144317E-2</v>
      </c>
      <c r="E24" s="53"/>
    </row>
    <row r="25" spans="1:5" ht="15.75" customHeight="1" x14ac:dyDescent="0.3">
      <c r="C25" s="350">
        <v>687.04</v>
      </c>
      <c r="D25" s="88">
        <f t="shared" si="0"/>
        <v>1.7506159108260408E-2</v>
      </c>
      <c r="E25" s="53"/>
    </row>
    <row r="26" spans="1:5" ht="15.75" customHeight="1" x14ac:dyDescent="0.3">
      <c r="C26" s="350">
        <v>674.35</v>
      </c>
      <c r="D26" s="88">
        <f t="shared" si="0"/>
        <v>-1.2877293976253689E-3</v>
      </c>
      <c r="E26" s="53"/>
    </row>
    <row r="27" spans="1:5" ht="15.75" customHeight="1" x14ac:dyDescent="0.3">
      <c r="C27" s="350">
        <v>674.95</v>
      </c>
      <c r="D27" s="88">
        <f t="shared" si="0"/>
        <v>-3.9912946826902953E-4</v>
      </c>
      <c r="E27" s="53"/>
    </row>
    <row r="28" spans="1:5" ht="15.75" customHeight="1" x14ac:dyDescent="0.3">
      <c r="C28" s="350">
        <v>675.57</v>
      </c>
      <c r="D28" s="88">
        <f t="shared" si="0"/>
        <v>5.1909045873249312E-4</v>
      </c>
      <c r="E28" s="53"/>
    </row>
    <row r="29" spans="1:5" ht="15.75" customHeight="1" x14ac:dyDescent="0.3">
      <c r="C29" s="350">
        <v>673.94</v>
      </c>
      <c r="D29" s="88">
        <f t="shared" si="0"/>
        <v>-1.8949393493521308E-3</v>
      </c>
      <c r="E29" s="53"/>
    </row>
    <row r="30" spans="1:5" ht="15.75" customHeight="1" x14ac:dyDescent="0.3">
      <c r="C30" s="350">
        <v>669.09</v>
      </c>
      <c r="D30" s="88">
        <f t="shared" si="0"/>
        <v>-9.0777887783156357E-3</v>
      </c>
      <c r="E30" s="53"/>
    </row>
    <row r="31" spans="1:5" ht="15.75" customHeight="1" x14ac:dyDescent="0.3">
      <c r="C31" s="350">
        <v>672.82</v>
      </c>
      <c r="D31" s="88">
        <f t="shared" si="0"/>
        <v>-3.5536592174839079E-3</v>
      </c>
      <c r="E31" s="53"/>
    </row>
    <row r="32" spans="1:5" ht="15.75" customHeight="1" x14ac:dyDescent="0.3">
      <c r="C32" s="350">
        <v>670.12</v>
      </c>
      <c r="D32" s="88">
        <f t="shared" si="0"/>
        <v>-7.5523588995873511E-3</v>
      </c>
      <c r="E32" s="53"/>
    </row>
    <row r="33" spans="1:7" ht="15.75" customHeight="1" x14ac:dyDescent="0.3">
      <c r="C33" s="350">
        <v>675.96</v>
      </c>
      <c r="D33" s="88">
        <f t="shared" si="0"/>
        <v>1.0966804128140716E-3</v>
      </c>
      <c r="E33" s="53"/>
    </row>
    <row r="34" spans="1:7" ht="15.75" customHeight="1" x14ac:dyDescent="0.3">
      <c r="C34" s="350">
        <v>678.84</v>
      </c>
      <c r="D34" s="88">
        <f t="shared" si="0"/>
        <v>5.361960073724332E-3</v>
      </c>
      <c r="E34" s="53"/>
    </row>
    <row r="35" spans="1:7" ht="15.75" customHeight="1" x14ac:dyDescent="0.3">
      <c r="C35" s="350">
        <v>679.75</v>
      </c>
      <c r="D35" s="88">
        <f t="shared" si="0"/>
        <v>6.7096699665813485E-3</v>
      </c>
      <c r="E35" s="53"/>
    </row>
    <row r="36" spans="1:7" ht="15.75" customHeight="1" x14ac:dyDescent="0.3">
      <c r="C36" s="350">
        <v>671.05</v>
      </c>
      <c r="D36" s="88">
        <f t="shared" si="0"/>
        <v>-6.1750290090851513E-3</v>
      </c>
      <c r="E36" s="53"/>
    </row>
    <row r="37" spans="1:7" ht="15.75" customHeight="1" x14ac:dyDescent="0.3">
      <c r="C37" s="350">
        <v>679.17</v>
      </c>
      <c r="D37" s="88">
        <f t="shared" si="0"/>
        <v>5.8506900348701931E-3</v>
      </c>
      <c r="E37" s="53"/>
    </row>
    <row r="38" spans="1:7" ht="15.75" customHeight="1" x14ac:dyDescent="0.3">
      <c r="C38" s="350">
        <v>678.87</v>
      </c>
      <c r="D38" s="88">
        <f t="shared" si="0"/>
        <v>5.406390070192107E-3</v>
      </c>
      <c r="E38" s="53"/>
    </row>
    <row r="39" spans="1:7" ht="15.75" customHeight="1" x14ac:dyDescent="0.3">
      <c r="C39" s="350">
        <v>676.65</v>
      </c>
      <c r="D39" s="88">
        <f t="shared" si="0"/>
        <v>2.1185703315737357E-3</v>
      </c>
      <c r="E39" s="53"/>
    </row>
    <row r="40" spans="1:7" ht="15.75" customHeight="1" x14ac:dyDescent="0.3">
      <c r="C40" s="350">
        <v>673.06</v>
      </c>
      <c r="D40" s="88">
        <f t="shared" si="0"/>
        <v>-3.1982192457415408E-3</v>
      </c>
      <c r="E40" s="53"/>
    </row>
    <row r="41" spans="1:7" ht="15.75" customHeight="1" x14ac:dyDescent="0.3">
      <c r="C41" s="350">
        <v>676.17</v>
      </c>
      <c r="D41" s="88">
        <f t="shared" si="0"/>
        <v>1.4076903880886641E-3</v>
      </c>
      <c r="E41" s="53"/>
    </row>
    <row r="42" spans="1:7" ht="15.75" customHeight="1" x14ac:dyDescent="0.3">
      <c r="C42" s="350">
        <v>670.92</v>
      </c>
      <c r="D42" s="88">
        <f t="shared" si="0"/>
        <v>-6.3675589937790111E-3</v>
      </c>
      <c r="E42" s="53"/>
    </row>
    <row r="43" spans="1:7" ht="16.5" customHeight="1" x14ac:dyDescent="0.3">
      <c r="C43" s="351">
        <v>679.47</v>
      </c>
      <c r="D43" s="89">
        <f t="shared" si="0"/>
        <v>6.2949899995484466E-3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13504.39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675.21949999999993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2">
        <f>C46</f>
        <v>675.21949999999993</v>
      </c>
      <c r="C49" s="93">
        <f>-IF(C46&lt;=80,10%,IF(C46&lt;250,7.5%,5%))</f>
        <v>-0.05</v>
      </c>
      <c r="D49" s="81">
        <f>IF(C46&lt;=80,C46*0.9,IF(C46&lt;250,C46*0.925,C46*0.95))</f>
        <v>641.4585249999999</v>
      </c>
    </row>
    <row r="50" spans="1:6" ht="17.25" customHeight="1" x14ac:dyDescent="0.3">
      <c r="B50" s="273"/>
      <c r="C50" s="94">
        <f>IF(C46&lt;=80, 10%, IF(C46&lt;250, 7.5%, 5%))</f>
        <v>0.05</v>
      </c>
      <c r="D50" s="81">
        <f>IF(C46&lt;=80, C46*1.1, IF(C46&lt;250, C46*1.075, C46*1.05))</f>
        <v>708.98047499999996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0"/>
  <sheetViews>
    <sheetView view="pageBreakPreview" topLeftCell="A89" zoomScale="40" zoomScaleNormal="70" zoomScaleSheetLayoutView="40" zoomScalePageLayoutView="55" workbookViewId="0">
      <selection activeCell="G111" sqref="G11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9.109375" style="2"/>
    <col min="11" max="16384" width="9.109375" style="319"/>
  </cols>
  <sheetData>
    <row r="1" spans="1:10" customFormat="1" ht="18.75" customHeight="1" x14ac:dyDescent="0.3">
      <c r="A1" s="308" t="s">
        <v>45</v>
      </c>
      <c r="B1" s="308"/>
      <c r="C1" s="308"/>
      <c r="D1" s="308"/>
      <c r="E1" s="308"/>
      <c r="F1" s="308"/>
      <c r="G1" s="308"/>
      <c r="H1" s="308"/>
      <c r="I1" s="308"/>
      <c r="J1" s="2"/>
    </row>
    <row r="2" spans="1:10" customFormat="1" ht="18.75" customHeight="1" x14ac:dyDescent="0.3">
      <c r="A2" s="308"/>
      <c r="B2" s="308"/>
      <c r="C2" s="308"/>
      <c r="D2" s="308"/>
      <c r="E2" s="308"/>
      <c r="F2" s="308"/>
      <c r="G2" s="308"/>
      <c r="H2" s="308"/>
      <c r="I2" s="308"/>
      <c r="J2" s="2"/>
    </row>
    <row r="3" spans="1:10" customFormat="1" ht="18.75" customHeight="1" x14ac:dyDescent="0.3">
      <c r="A3" s="308"/>
      <c r="B3" s="308"/>
      <c r="C3" s="308"/>
      <c r="D3" s="308"/>
      <c r="E3" s="308"/>
      <c r="F3" s="308"/>
      <c r="G3" s="308"/>
      <c r="H3" s="308"/>
      <c r="I3" s="308"/>
      <c r="J3" s="2"/>
    </row>
    <row r="4" spans="1:10" customFormat="1" ht="18.75" customHeight="1" x14ac:dyDescent="0.3">
      <c r="A4" s="308"/>
      <c r="B4" s="308"/>
      <c r="C4" s="308"/>
      <c r="D4" s="308"/>
      <c r="E4" s="308"/>
      <c r="F4" s="308"/>
      <c r="G4" s="308"/>
      <c r="H4" s="308"/>
      <c r="I4" s="308"/>
      <c r="J4" s="2"/>
    </row>
    <row r="5" spans="1:10" customFormat="1" ht="18.75" customHeight="1" x14ac:dyDescent="0.3">
      <c r="A5" s="308"/>
      <c r="B5" s="308"/>
      <c r="C5" s="308"/>
      <c r="D5" s="308"/>
      <c r="E5" s="308"/>
      <c r="F5" s="308"/>
      <c r="G5" s="308"/>
      <c r="H5" s="308"/>
      <c r="I5" s="308"/>
      <c r="J5" s="2"/>
    </row>
    <row r="6" spans="1:10" customFormat="1" ht="18.75" customHeight="1" x14ac:dyDescent="0.3">
      <c r="A6" s="308"/>
      <c r="B6" s="308"/>
      <c r="C6" s="308"/>
      <c r="D6" s="308"/>
      <c r="E6" s="308"/>
      <c r="F6" s="308"/>
      <c r="G6" s="308"/>
      <c r="H6" s="308"/>
      <c r="I6" s="308"/>
      <c r="J6" s="2"/>
    </row>
    <row r="7" spans="1:10" customFormat="1" ht="18.75" customHeight="1" x14ac:dyDescent="0.3">
      <c r="A7" s="308"/>
      <c r="B7" s="308"/>
      <c r="C7" s="308"/>
      <c r="D7" s="308"/>
      <c r="E7" s="308"/>
      <c r="F7" s="308"/>
      <c r="G7" s="308"/>
      <c r="H7" s="308"/>
      <c r="I7" s="308"/>
      <c r="J7" s="2"/>
    </row>
    <row r="8" spans="1:10" customFormat="1" x14ac:dyDescent="0.3">
      <c r="A8" s="309" t="s">
        <v>46</v>
      </c>
      <c r="B8" s="309"/>
      <c r="C8" s="309"/>
      <c r="D8" s="309"/>
      <c r="E8" s="309"/>
      <c r="F8" s="309"/>
      <c r="G8" s="309"/>
      <c r="H8" s="309"/>
      <c r="I8" s="309"/>
      <c r="J8" s="2"/>
    </row>
    <row r="9" spans="1:10" customFormat="1" x14ac:dyDescent="0.3">
      <c r="A9" s="309"/>
      <c r="B9" s="309"/>
      <c r="C9" s="309"/>
      <c r="D9" s="309"/>
      <c r="E9" s="309"/>
      <c r="F9" s="309"/>
      <c r="G9" s="309"/>
      <c r="H9" s="309"/>
      <c r="I9" s="309"/>
      <c r="J9" s="2"/>
    </row>
    <row r="10" spans="1:10" customFormat="1" x14ac:dyDescent="0.3">
      <c r="A10" s="309"/>
      <c r="B10" s="309"/>
      <c r="C10" s="309"/>
      <c r="D10" s="309"/>
      <c r="E10" s="309"/>
      <c r="F10" s="309"/>
      <c r="G10" s="309"/>
      <c r="H10" s="309"/>
      <c r="I10" s="309"/>
      <c r="J10" s="2"/>
    </row>
    <row r="11" spans="1:10" customFormat="1" x14ac:dyDescent="0.3">
      <c r="A11" s="309"/>
      <c r="B11" s="309"/>
      <c r="C11" s="309"/>
      <c r="D11" s="309"/>
      <c r="E11" s="309"/>
      <c r="F11" s="309"/>
      <c r="G11" s="309"/>
      <c r="H11" s="309"/>
      <c r="I11" s="309"/>
      <c r="J11" s="2"/>
    </row>
    <row r="12" spans="1:10" customFormat="1" x14ac:dyDescent="0.3">
      <c r="A12" s="309"/>
      <c r="B12" s="309"/>
      <c r="C12" s="309"/>
      <c r="D12" s="309"/>
      <c r="E12" s="309"/>
      <c r="F12" s="309"/>
      <c r="G12" s="309"/>
      <c r="H12" s="309"/>
      <c r="I12" s="309"/>
      <c r="J12" s="2"/>
    </row>
    <row r="13" spans="1:10" customFormat="1" x14ac:dyDescent="0.3">
      <c r="A13" s="309"/>
      <c r="B13" s="309"/>
      <c r="C13" s="309"/>
      <c r="D13" s="309"/>
      <c r="E13" s="309"/>
      <c r="F13" s="309"/>
      <c r="G13" s="309"/>
      <c r="H13" s="309"/>
      <c r="I13" s="309"/>
      <c r="J13" s="2"/>
    </row>
    <row r="14" spans="1:10" customFormat="1" x14ac:dyDescent="0.3">
      <c r="A14" s="309"/>
      <c r="B14" s="309"/>
      <c r="C14" s="309"/>
      <c r="D14" s="309"/>
      <c r="E14" s="309"/>
      <c r="F14" s="309"/>
      <c r="G14" s="309"/>
      <c r="H14" s="309"/>
      <c r="I14" s="309"/>
      <c r="J14" s="2"/>
    </row>
    <row r="15" spans="1:10" customFormat="1" ht="19.5" customHeight="1" x14ac:dyDescent="0.35">
      <c r="A15" s="96"/>
      <c r="B15" s="2"/>
      <c r="C15" s="2"/>
      <c r="D15" s="2"/>
      <c r="E15" s="2"/>
      <c r="F15" s="2"/>
      <c r="G15" s="2"/>
      <c r="H15" s="2"/>
      <c r="I15" s="2"/>
      <c r="J15" s="2"/>
    </row>
    <row r="16" spans="1:10" customFormat="1" ht="19.5" customHeight="1" x14ac:dyDescent="0.35">
      <c r="A16" s="281" t="s">
        <v>31</v>
      </c>
      <c r="B16" s="282"/>
      <c r="C16" s="282"/>
      <c r="D16" s="282"/>
      <c r="E16" s="282"/>
      <c r="F16" s="282"/>
      <c r="G16" s="282"/>
      <c r="H16" s="283"/>
      <c r="I16" s="2"/>
      <c r="J16" s="2"/>
    </row>
    <row r="17" spans="1:12" customFormat="1" ht="20.25" customHeight="1" x14ac:dyDescent="0.3">
      <c r="A17" s="284" t="s">
        <v>47</v>
      </c>
      <c r="B17" s="284"/>
      <c r="C17" s="284"/>
      <c r="D17" s="284"/>
      <c r="E17" s="284"/>
      <c r="F17" s="284"/>
      <c r="G17" s="284"/>
      <c r="H17" s="284"/>
      <c r="I17" s="2"/>
      <c r="J17" s="2"/>
    </row>
    <row r="18" spans="1:12" customFormat="1" ht="26.25" customHeight="1" x14ac:dyDescent="0.5">
      <c r="A18" s="98" t="s">
        <v>33</v>
      </c>
      <c r="B18" s="280" t="s">
        <v>5</v>
      </c>
      <c r="C18" s="280"/>
      <c r="D18" s="256"/>
      <c r="E18" s="99"/>
      <c r="F18" s="100"/>
      <c r="G18" s="100"/>
      <c r="H18" s="100"/>
      <c r="I18" s="2"/>
      <c r="J18" s="2"/>
    </row>
    <row r="19" spans="1:12" customFormat="1" ht="26.25" customHeight="1" x14ac:dyDescent="0.5">
      <c r="A19" s="98" t="s">
        <v>34</v>
      </c>
      <c r="B19" s="101" t="s">
        <v>7</v>
      </c>
      <c r="C19" s="269">
        <v>29</v>
      </c>
      <c r="D19" s="100"/>
      <c r="E19" s="100"/>
      <c r="F19" s="100"/>
      <c r="G19" s="100"/>
      <c r="H19" s="100"/>
      <c r="I19" s="2"/>
      <c r="J19" s="2"/>
    </row>
    <row r="20" spans="1:12" customFormat="1" ht="26.25" customHeight="1" x14ac:dyDescent="0.5">
      <c r="A20" s="98" t="s">
        <v>35</v>
      </c>
      <c r="B20" s="285" t="s">
        <v>9</v>
      </c>
      <c r="C20" s="285"/>
      <c r="D20" s="100"/>
      <c r="E20" s="100"/>
      <c r="F20" s="100"/>
      <c r="G20" s="100"/>
      <c r="H20" s="100"/>
      <c r="I20" s="2"/>
      <c r="J20" s="2"/>
    </row>
    <row r="21" spans="1:12" customFormat="1" ht="26.25" customHeight="1" x14ac:dyDescent="0.5">
      <c r="A21" s="98" t="s">
        <v>36</v>
      </c>
      <c r="B21" s="285" t="s">
        <v>122</v>
      </c>
      <c r="C21" s="285"/>
      <c r="D21" s="285"/>
      <c r="E21" s="285"/>
      <c r="F21" s="285"/>
      <c r="G21" s="285"/>
      <c r="H21" s="285"/>
      <c r="I21" s="102"/>
      <c r="J21" s="2"/>
    </row>
    <row r="22" spans="1:12" customFormat="1" ht="26.25" customHeight="1" x14ac:dyDescent="0.5">
      <c r="A22" s="98" t="s">
        <v>37</v>
      </c>
      <c r="B22" s="103" t="s">
        <v>12</v>
      </c>
      <c r="C22" s="100"/>
      <c r="D22" s="100"/>
      <c r="E22" s="100"/>
      <c r="F22" s="100"/>
      <c r="G22" s="100"/>
      <c r="H22" s="100"/>
      <c r="I22" s="2"/>
      <c r="J22" s="2"/>
    </row>
    <row r="23" spans="1:12" customFormat="1" ht="26.25" customHeight="1" x14ac:dyDescent="0.5">
      <c r="A23" s="98" t="s">
        <v>38</v>
      </c>
      <c r="B23" s="103"/>
      <c r="C23" s="100"/>
      <c r="D23" s="100"/>
      <c r="E23" s="100"/>
      <c r="F23" s="100"/>
      <c r="G23" s="100"/>
      <c r="H23" s="100"/>
      <c r="I23" s="2"/>
      <c r="J23" s="2"/>
    </row>
    <row r="24" spans="1:12" customFormat="1" ht="18" x14ac:dyDescent="0.35">
      <c r="A24" s="98"/>
      <c r="B24" s="104"/>
      <c r="C24" s="2"/>
      <c r="D24" s="2"/>
      <c r="E24" s="2"/>
      <c r="F24" s="2"/>
      <c r="G24" s="2"/>
      <c r="H24" s="2"/>
      <c r="I24" s="2"/>
      <c r="J24" s="2"/>
    </row>
    <row r="25" spans="1:12" customFormat="1" ht="18" x14ac:dyDescent="0.35">
      <c r="A25" s="105" t="s">
        <v>1</v>
      </c>
      <c r="B25" s="104"/>
      <c r="C25" s="2"/>
      <c r="D25" s="2"/>
      <c r="E25" s="2"/>
      <c r="F25" s="2"/>
      <c r="G25" s="2"/>
      <c r="H25" s="2"/>
      <c r="I25" s="2"/>
      <c r="J25" s="2"/>
    </row>
    <row r="26" spans="1:12" customFormat="1" ht="26.25" customHeight="1" x14ac:dyDescent="0.45">
      <c r="A26" s="106" t="s">
        <v>4</v>
      </c>
      <c r="B26" s="280" t="s">
        <v>9</v>
      </c>
      <c r="C26" s="280"/>
      <c r="D26" s="2"/>
      <c r="E26" s="2"/>
      <c r="F26" s="2"/>
      <c r="G26" s="2"/>
      <c r="H26" s="2"/>
      <c r="I26" s="2"/>
      <c r="J26" s="2"/>
    </row>
    <row r="27" spans="1:12" customFormat="1" ht="26.25" customHeight="1" x14ac:dyDescent="0.5">
      <c r="A27" s="107" t="s">
        <v>48</v>
      </c>
      <c r="B27" s="286" t="s">
        <v>123</v>
      </c>
      <c r="C27" s="286"/>
      <c r="D27" s="2"/>
      <c r="E27" s="2"/>
      <c r="F27" s="2"/>
      <c r="G27" s="2"/>
      <c r="H27" s="2"/>
      <c r="I27" s="2"/>
      <c r="J27" s="2"/>
    </row>
    <row r="28" spans="1:12" ht="27" customHeight="1" x14ac:dyDescent="0.45">
      <c r="A28" s="107" t="s">
        <v>6</v>
      </c>
      <c r="B28" s="108">
        <v>98.57</v>
      </c>
    </row>
    <row r="29" spans="1:12" s="320" customFormat="1" ht="27" customHeight="1" x14ac:dyDescent="0.5">
      <c r="A29" s="107" t="s">
        <v>49</v>
      </c>
      <c r="B29" s="109">
        <v>0</v>
      </c>
      <c r="C29" s="287" t="s">
        <v>50</v>
      </c>
      <c r="D29" s="288"/>
      <c r="E29" s="288"/>
      <c r="F29" s="288"/>
      <c r="G29" s="289"/>
      <c r="H29" s="14"/>
      <c r="I29" s="110"/>
      <c r="J29" s="110"/>
    </row>
    <row r="30" spans="1:12" s="320" customFormat="1" ht="19.5" customHeight="1" x14ac:dyDescent="0.35">
      <c r="A30" s="107" t="s">
        <v>51</v>
      </c>
      <c r="B30" s="111">
        <f>B28-B29</f>
        <v>98.57</v>
      </c>
      <c r="C30" s="112"/>
      <c r="D30" s="112"/>
      <c r="E30" s="112"/>
      <c r="F30" s="112"/>
      <c r="G30" s="113"/>
      <c r="H30" s="14"/>
      <c r="I30" s="110"/>
      <c r="J30" s="110"/>
    </row>
    <row r="31" spans="1:12" s="320" customFormat="1" ht="27" customHeight="1" x14ac:dyDescent="0.45">
      <c r="A31" s="107" t="s">
        <v>52</v>
      </c>
      <c r="B31" s="114">
        <v>1</v>
      </c>
      <c r="C31" s="290" t="s">
        <v>53</v>
      </c>
      <c r="D31" s="291"/>
      <c r="E31" s="291"/>
      <c r="F31" s="291"/>
      <c r="G31" s="291"/>
      <c r="H31" s="292"/>
      <c r="I31" s="110"/>
      <c r="J31" s="110"/>
    </row>
    <row r="32" spans="1:12" s="320" customFormat="1" ht="27" customHeight="1" x14ac:dyDescent="0.45">
      <c r="A32" s="107" t="s">
        <v>54</v>
      </c>
      <c r="B32" s="114">
        <v>1</v>
      </c>
      <c r="C32" s="290" t="s">
        <v>55</v>
      </c>
      <c r="D32" s="291"/>
      <c r="E32" s="291"/>
      <c r="F32" s="291"/>
      <c r="G32" s="291"/>
      <c r="H32" s="292"/>
      <c r="I32" s="110"/>
      <c r="J32" s="115"/>
      <c r="K32" s="321"/>
      <c r="L32" s="322"/>
    </row>
    <row r="33" spans="1:12" s="320" customFormat="1" ht="17.25" customHeight="1" x14ac:dyDescent="0.35">
      <c r="A33" s="107"/>
      <c r="B33" s="116"/>
      <c r="C33" s="117"/>
      <c r="D33" s="117"/>
      <c r="E33" s="117"/>
      <c r="F33" s="117"/>
      <c r="G33" s="117"/>
      <c r="H33" s="117"/>
      <c r="I33" s="110"/>
      <c r="J33" s="115"/>
      <c r="K33" s="321"/>
      <c r="L33" s="322"/>
    </row>
    <row r="34" spans="1:12" s="320" customFormat="1" ht="18" x14ac:dyDescent="0.35">
      <c r="A34" s="107" t="s">
        <v>56</v>
      </c>
      <c r="B34" s="118">
        <f>B31/B32</f>
        <v>1</v>
      </c>
      <c r="C34" s="97" t="s">
        <v>57</v>
      </c>
      <c r="D34" s="97"/>
      <c r="E34" s="97"/>
      <c r="F34" s="97"/>
      <c r="G34" s="97"/>
      <c r="I34" s="110"/>
      <c r="J34" s="115"/>
      <c r="K34" s="321"/>
      <c r="L34" s="322"/>
    </row>
    <row r="35" spans="1:12" s="320" customFormat="1" ht="19.5" customHeight="1" x14ac:dyDescent="0.35">
      <c r="A35" s="107"/>
      <c r="B35" s="111"/>
      <c r="C35" s="14"/>
      <c r="D35" s="14"/>
      <c r="E35" s="14"/>
      <c r="F35" s="328"/>
      <c r="G35" s="97"/>
      <c r="I35" s="110"/>
      <c r="J35" s="115"/>
      <c r="K35" s="321"/>
      <c r="L35" s="322"/>
    </row>
    <row r="36" spans="1:12" s="320" customFormat="1" ht="27" customHeight="1" x14ac:dyDescent="0.45">
      <c r="A36" s="119" t="s">
        <v>58</v>
      </c>
      <c r="B36" s="120">
        <v>50</v>
      </c>
      <c r="C36" s="97"/>
      <c r="D36" s="293" t="s">
        <v>59</v>
      </c>
      <c r="E36" s="294"/>
      <c r="F36" s="330" t="s">
        <v>60</v>
      </c>
      <c r="G36" s="331"/>
      <c r="I36" s="324"/>
      <c r="J36" s="115"/>
      <c r="K36" s="321"/>
      <c r="L36" s="322"/>
    </row>
    <row r="37" spans="1:12" s="320" customFormat="1" ht="27" customHeight="1" x14ac:dyDescent="0.45">
      <c r="A37" s="121" t="s">
        <v>61</v>
      </c>
      <c r="B37" s="122">
        <v>5</v>
      </c>
      <c r="C37" s="123" t="s">
        <v>62</v>
      </c>
      <c r="D37" s="124" t="s">
        <v>63</v>
      </c>
      <c r="E37" s="125" t="s">
        <v>64</v>
      </c>
      <c r="F37" s="332" t="s">
        <v>63</v>
      </c>
      <c r="G37" s="333" t="s">
        <v>64</v>
      </c>
      <c r="I37" s="325" t="s">
        <v>65</v>
      </c>
      <c r="J37" s="115"/>
      <c r="K37" s="321"/>
      <c r="L37" s="322"/>
    </row>
    <row r="38" spans="1:12" s="320" customFormat="1" ht="26.25" customHeight="1" x14ac:dyDescent="0.45">
      <c r="A38" s="121" t="s">
        <v>66</v>
      </c>
      <c r="B38" s="122">
        <v>50</v>
      </c>
      <c r="C38" s="127">
        <v>1</v>
      </c>
      <c r="D38" s="128">
        <v>23234276</v>
      </c>
      <c r="E38" s="129">
        <f>IF(ISBLANK(D38),"-",$D$48/$D$45*D38)</f>
        <v>24340506.248858891</v>
      </c>
      <c r="F38" s="334">
        <v>23955990</v>
      </c>
      <c r="G38" s="335">
        <f>IF(ISBLANK(F38),"-",$D$48/$F$45*F38)</f>
        <v>24148977.032938264</v>
      </c>
      <c r="I38" s="326"/>
      <c r="J38" s="115"/>
      <c r="K38" s="321"/>
      <c r="L38" s="322"/>
    </row>
    <row r="39" spans="1:12" s="320" customFormat="1" ht="26.25" customHeight="1" x14ac:dyDescent="0.45">
      <c r="A39" s="121" t="s">
        <v>67</v>
      </c>
      <c r="B39" s="122">
        <v>1</v>
      </c>
      <c r="C39" s="132">
        <v>2</v>
      </c>
      <c r="D39" s="133">
        <v>23215712</v>
      </c>
      <c r="E39" s="134">
        <f>IF(ISBLANK(D39),"-",$D$48/$D$45*D39)</f>
        <v>24321058.379770834</v>
      </c>
      <c r="F39" s="336">
        <v>23965216</v>
      </c>
      <c r="G39" s="337">
        <f>IF(ISBLANK(F39),"-",$D$48/$F$45*F39)</f>
        <v>24158277.356661305</v>
      </c>
      <c r="I39" s="327">
        <f>ABS((F43/D43*D42)-F42)/D42</f>
        <v>6.9508908107405436E-3</v>
      </c>
      <c r="J39" s="115"/>
      <c r="K39" s="321"/>
      <c r="L39" s="322"/>
    </row>
    <row r="40" spans="1:12" ht="26.25" customHeight="1" x14ac:dyDescent="0.45">
      <c r="A40" s="121" t="s">
        <v>68</v>
      </c>
      <c r="B40" s="122">
        <v>1</v>
      </c>
      <c r="C40" s="132">
        <v>3</v>
      </c>
      <c r="D40" s="133">
        <v>23232831</v>
      </c>
      <c r="E40" s="134">
        <f>IF(ISBLANK(D40),"-",$D$48/$D$45*D40)</f>
        <v>24338992.449525114</v>
      </c>
      <c r="F40" s="336">
        <v>24011608</v>
      </c>
      <c r="G40" s="337">
        <f>IF(ISBLANK(F40),"-",$D$48/$F$45*F40)</f>
        <v>24205043.085922007</v>
      </c>
      <c r="I40" s="297"/>
      <c r="J40" s="115"/>
      <c r="K40" s="321"/>
      <c r="L40" s="323"/>
    </row>
    <row r="41" spans="1:12" ht="27" customHeight="1" x14ac:dyDescent="0.45">
      <c r="A41" s="121" t="s">
        <v>69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338"/>
      <c r="G41" s="339" t="str">
        <f>IF(ISBLANK(F41),"-",$D$48/$F$45*F41)</f>
        <v>-</v>
      </c>
      <c r="I41" s="141"/>
      <c r="J41" s="115"/>
      <c r="K41" s="321"/>
      <c r="L41" s="323"/>
    </row>
    <row r="42" spans="1:12" ht="27" customHeight="1" x14ac:dyDescent="0.45">
      <c r="A42" s="121" t="s">
        <v>70</v>
      </c>
      <c r="B42" s="122">
        <v>1</v>
      </c>
      <c r="C42" s="142" t="s">
        <v>71</v>
      </c>
      <c r="D42" s="143">
        <f>AVERAGE(D38:D41)</f>
        <v>23227606.333333332</v>
      </c>
      <c r="E42" s="144">
        <f>AVERAGE(E38:E41)</f>
        <v>24333519.026051614</v>
      </c>
      <c r="F42" s="340">
        <f>AVERAGE(F38:F41)</f>
        <v>23977604.666666668</v>
      </c>
      <c r="G42" s="341">
        <f>AVERAGE(G38:G41)</f>
        <v>24170765.825173859</v>
      </c>
      <c r="H42" s="145"/>
    </row>
    <row r="43" spans="1:12" ht="26.25" customHeight="1" x14ac:dyDescent="0.45">
      <c r="A43" s="121" t="s">
        <v>72</v>
      </c>
      <c r="B43" s="122">
        <v>1</v>
      </c>
      <c r="C43" s="146" t="s">
        <v>73</v>
      </c>
      <c r="D43" s="147">
        <v>24.21</v>
      </c>
      <c r="E43" s="136"/>
      <c r="F43" s="329">
        <v>25.16</v>
      </c>
      <c r="H43" s="145"/>
    </row>
    <row r="44" spans="1:12" ht="26.25" customHeight="1" x14ac:dyDescent="0.45">
      <c r="A44" s="121" t="s">
        <v>74</v>
      </c>
      <c r="B44" s="122">
        <v>1</v>
      </c>
      <c r="C44" s="148" t="s">
        <v>75</v>
      </c>
      <c r="D44" s="149">
        <f>D43*$B$34</f>
        <v>24.21</v>
      </c>
      <c r="E44" s="150"/>
      <c r="F44" s="149">
        <f>F43*$B$34</f>
        <v>25.16</v>
      </c>
      <c r="H44" s="145"/>
    </row>
    <row r="45" spans="1:12" ht="19.5" customHeight="1" x14ac:dyDescent="0.35">
      <c r="A45" s="121" t="s">
        <v>76</v>
      </c>
      <c r="B45" s="151">
        <f>(B44/B43)*(B42/B41)*(B40/B39)*(B38/B37)*B36</f>
        <v>500</v>
      </c>
      <c r="C45" s="148" t="s">
        <v>77</v>
      </c>
      <c r="D45" s="152">
        <f>D44*$B$30/100</f>
        <v>23.863796999999998</v>
      </c>
      <c r="E45" s="153"/>
      <c r="F45" s="152">
        <f>F44*$B$30/100</f>
        <v>24.800211999999998</v>
      </c>
      <c r="H45" s="145"/>
    </row>
    <row r="46" spans="1:12" ht="19.5" customHeight="1" x14ac:dyDescent="0.35">
      <c r="A46" s="298" t="s">
        <v>78</v>
      </c>
      <c r="B46" s="299"/>
      <c r="C46" s="148" t="s">
        <v>79</v>
      </c>
      <c r="D46" s="154">
        <f>D45/$B$45</f>
        <v>4.7727593999999998E-2</v>
      </c>
      <c r="E46" s="155"/>
      <c r="F46" s="156">
        <f>F45/$B$45</f>
        <v>4.9600423999999997E-2</v>
      </c>
      <c r="H46" s="145"/>
    </row>
    <row r="47" spans="1:12" ht="27" customHeight="1" x14ac:dyDescent="0.45">
      <c r="A47" s="300"/>
      <c r="B47" s="301"/>
      <c r="C47" s="157" t="s">
        <v>80</v>
      </c>
      <c r="D47" s="158">
        <v>0.05</v>
      </c>
      <c r="E47" s="159"/>
      <c r="F47" s="155"/>
      <c r="H47" s="145"/>
    </row>
    <row r="48" spans="1:12" ht="18" x14ac:dyDescent="0.35">
      <c r="C48" s="160" t="s">
        <v>81</v>
      </c>
      <c r="D48" s="152">
        <f>D47*$B$45</f>
        <v>25</v>
      </c>
      <c r="F48" s="161"/>
      <c r="H48" s="145"/>
    </row>
    <row r="49" spans="1:10" ht="19.5" customHeight="1" thickBot="1" x14ac:dyDescent="0.4">
      <c r="C49" s="162" t="s">
        <v>82</v>
      </c>
      <c r="D49" s="342">
        <f>D48/B34</f>
        <v>25</v>
      </c>
      <c r="E49" s="346"/>
      <c r="F49" s="347"/>
      <c r="H49" s="145"/>
    </row>
    <row r="50" spans="1:10" ht="25.2" x14ac:dyDescent="0.45">
      <c r="C50" s="119" t="s">
        <v>83</v>
      </c>
      <c r="D50" s="343">
        <f>AVERAGE(E38:E41,G38:G41)</f>
        <v>24252142.425612736</v>
      </c>
      <c r="E50" s="348"/>
      <c r="F50" s="349"/>
      <c r="H50" s="145"/>
    </row>
    <row r="51" spans="1:10" ht="18" x14ac:dyDescent="0.35">
      <c r="C51" s="121" t="s">
        <v>84</v>
      </c>
      <c r="D51" s="344">
        <f>STDEV(E38:E41,G38:G41)/D50</f>
        <v>3.7688654249605135E-3</v>
      </c>
      <c r="E51" s="346"/>
      <c r="F51" s="349"/>
      <c r="H51" s="145"/>
    </row>
    <row r="52" spans="1:10" ht="19.5" customHeight="1" x14ac:dyDescent="0.35">
      <c r="C52" s="164" t="s">
        <v>20</v>
      </c>
      <c r="D52" s="345">
        <f>COUNT(E38:E41,G38:G41)</f>
        <v>6</v>
      </c>
      <c r="E52" s="346"/>
      <c r="F52" s="349"/>
    </row>
    <row r="54" spans="1:10" ht="18" x14ac:dyDescent="0.35">
      <c r="A54" s="165" t="s">
        <v>1</v>
      </c>
      <c r="B54" s="166" t="s">
        <v>85</v>
      </c>
    </row>
    <row r="55" spans="1:10" ht="18" x14ac:dyDescent="0.35">
      <c r="A55" s="97" t="s">
        <v>86</v>
      </c>
      <c r="B55" s="167" t="str">
        <f>B21</f>
        <v>Each film coated Tablet contains: ornidazole 500mg
Ornidazole 500 mg</v>
      </c>
    </row>
    <row r="56" spans="1:10" ht="26.25" customHeight="1" x14ac:dyDescent="0.45">
      <c r="A56" s="168" t="s">
        <v>87</v>
      </c>
      <c r="B56" s="169">
        <v>500</v>
      </c>
      <c r="C56" s="97" t="str">
        <f>B20</f>
        <v>Ornidazole</v>
      </c>
      <c r="G56" s="2">
        <f>F60/D50*D47*B68</f>
        <v>546.20061054937196</v>
      </c>
      <c r="H56" s="170"/>
    </row>
    <row r="57" spans="1:10" ht="18" x14ac:dyDescent="0.35">
      <c r="A57" s="167" t="s">
        <v>124</v>
      </c>
      <c r="B57" s="257">
        <f>Uniformity!C46</f>
        <v>675.21949999999993</v>
      </c>
      <c r="G57" s="2">
        <f>G56*B69/D60</f>
        <v>545.13451260064687</v>
      </c>
      <c r="H57" s="170"/>
    </row>
    <row r="58" spans="1:10" ht="19.5" customHeight="1" x14ac:dyDescent="0.35">
      <c r="H58" s="170"/>
    </row>
    <row r="59" spans="1:10" s="320" customFormat="1" ht="27" customHeight="1" x14ac:dyDescent="0.45">
      <c r="A59" s="119" t="s">
        <v>88</v>
      </c>
      <c r="B59" s="120">
        <v>200</v>
      </c>
      <c r="C59" s="97"/>
      <c r="D59" s="171" t="s">
        <v>89</v>
      </c>
      <c r="E59" s="172" t="s">
        <v>62</v>
      </c>
      <c r="F59" s="172" t="s">
        <v>63</v>
      </c>
      <c r="G59" s="172" t="s">
        <v>90</v>
      </c>
      <c r="H59" s="123" t="s">
        <v>91</v>
      </c>
      <c r="I59" s="14"/>
      <c r="J59" s="110"/>
    </row>
    <row r="60" spans="1:10" s="320" customFormat="1" ht="26.25" customHeight="1" x14ac:dyDescent="0.45">
      <c r="A60" s="121" t="s">
        <v>92</v>
      </c>
      <c r="B60" s="122">
        <v>2</v>
      </c>
      <c r="C60" s="302" t="s">
        <v>93</v>
      </c>
      <c r="D60" s="305">
        <v>676.54</v>
      </c>
      <c r="E60" s="173">
        <v>1</v>
      </c>
      <c r="F60" s="174">
        <v>26493070</v>
      </c>
      <c r="G60" s="258">
        <f>IF(ISBLANK(F60),"-",(F60/$D$50*$D$47*$B$68)*($B$57/$D$60))</f>
        <v>545.13451260064687</v>
      </c>
      <c r="H60" s="175">
        <f>IF(ISBLANK(F60),"-",G60/$B$56)</f>
        <v>1.0902690252012937</v>
      </c>
      <c r="I60" s="14"/>
      <c r="J60" s="110"/>
    </row>
    <row r="61" spans="1:10" s="320" customFormat="1" ht="26.25" customHeight="1" x14ac:dyDescent="0.45">
      <c r="A61" s="121" t="s">
        <v>94</v>
      </c>
      <c r="B61" s="122">
        <v>100</v>
      </c>
      <c r="C61" s="303"/>
      <c r="D61" s="306"/>
      <c r="E61" s="176">
        <v>2</v>
      </c>
      <c r="F61" s="133">
        <v>26454986</v>
      </c>
      <c r="G61" s="259">
        <f>IF(ISBLANK(F61),"-",(F61/$D$50*$D$47*$B$68)*($B$57/$D$60))</f>
        <v>544.35087737913852</v>
      </c>
      <c r="H61" s="177">
        <f t="shared" ref="H60:H71" si="0">IF(ISBLANK(F61),"-",G61/$B$56)</f>
        <v>1.0887017547582771</v>
      </c>
      <c r="I61" s="14"/>
      <c r="J61" s="110"/>
    </row>
    <row r="62" spans="1:10" s="320" customFormat="1" ht="26.25" customHeight="1" x14ac:dyDescent="0.45">
      <c r="A62" s="121" t="s">
        <v>95</v>
      </c>
      <c r="B62" s="122">
        <v>1</v>
      </c>
      <c r="C62" s="303"/>
      <c r="D62" s="306"/>
      <c r="E62" s="176">
        <v>3</v>
      </c>
      <c r="F62" s="178">
        <v>26467579</v>
      </c>
      <c r="G62" s="259">
        <f>IF(ISBLANK(F62),"-",(F62/$D$50*$D$47*$B$68)*($B$57/$D$60))</f>
        <v>544.60999717602044</v>
      </c>
      <c r="H62" s="177">
        <f t="shared" si="0"/>
        <v>1.0892199943520409</v>
      </c>
      <c r="I62" s="14"/>
      <c r="J62" s="110"/>
    </row>
    <row r="63" spans="1:10" ht="27" customHeight="1" x14ac:dyDescent="0.45">
      <c r="A63" s="121" t="s">
        <v>96</v>
      </c>
      <c r="B63" s="122">
        <v>1</v>
      </c>
      <c r="C63" s="304"/>
      <c r="D63" s="307"/>
      <c r="E63" s="179">
        <v>4</v>
      </c>
      <c r="F63" s="180"/>
      <c r="G63" s="259" t="str">
        <f>IF(ISBLANK(F63),"-",(F63/$D$50*$D$47*$B$68)*($B$57/$D$60))</f>
        <v>-</v>
      </c>
      <c r="H63" s="177" t="str">
        <f t="shared" si="0"/>
        <v>-</v>
      </c>
    </row>
    <row r="64" spans="1:10" ht="26.25" customHeight="1" x14ac:dyDescent="0.45">
      <c r="A64" s="121" t="s">
        <v>97</v>
      </c>
      <c r="B64" s="122">
        <v>1</v>
      </c>
      <c r="C64" s="302" t="s">
        <v>98</v>
      </c>
      <c r="D64" s="305">
        <v>678.76</v>
      </c>
      <c r="E64" s="173">
        <v>1</v>
      </c>
      <c r="F64" s="174">
        <v>26324343</v>
      </c>
      <c r="G64" s="260">
        <f>IF(ISBLANK(F64),"-",(F64/$D$50*$D$47*$B$68)*($B$57/$D$64))</f>
        <v>539.89110241571666</v>
      </c>
      <c r="H64" s="181">
        <f t="shared" si="0"/>
        <v>1.0797822048314334</v>
      </c>
    </row>
    <row r="65" spans="1:8" ht="26.25" customHeight="1" x14ac:dyDescent="0.45">
      <c r="A65" s="121" t="s">
        <v>99</v>
      </c>
      <c r="B65" s="122">
        <v>1</v>
      </c>
      <c r="C65" s="303"/>
      <c r="D65" s="306"/>
      <c r="E65" s="176">
        <v>2</v>
      </c>
      <c r="F65" s="133">
        <v>26282380</v>
      </c>
      <c r="G65" s="261">
        <f>IF(ISBLANK(F65),"-",(F65/$D$50*$D$47*$B$68)*($B$57/$D$64))</f>
        <v>539.03047503631092</v>
      </c>
      <c r="H65" s="182">
        <f t="shared" si="0"/>
        <v>1.0780609500726219</v>
      </c>
    </row>
    <row r="66" spans="1:8" ht="26.25" customHeight="1" x14ac:dyDescent="0.45">
      <c r="A66" s="121" t="s">
        <v>100</v>
      </c>
      <c r="B66" s="122">
        <v>1</v>
      </c>
      <c r="C66" s="303"/>
      <c r="D66" s="306"/>
      <c r="E66" s="176">
        <v>3</v>
      </c>
      <c r="F66" s="133">
        <v>26285988</v>
      </c>
      <c r="G66" s="261">
        <f>IF(ISBLANK(F66),"-",(F66/$D$50*$D$47*$B$68)*($B$57/$D$64))</f>
        <v>539.10447221441768</v>
      </c>
      <c r="H66" s="182">
        <f t="shared" si="0"/>
        <v>1.0782089444288354</v>
      </c>
    </row>
    <row r="67" spans="1:8" ht="27" customHeight="1" x14ac:dyDescent="0.45">
      <c r="A67" s="121" t="s">
        <v>101</v>
      </c>
      <c r="B67" s="122">
        <v>1</v>
      </c>
      <c r="C67" s="304"/>
      <c r="D67" s="307"/>
      <c r="E67" s="179">
        <v>4</v>
      </c>
      <c r="F67" s="180"/>
      <c r="G67" s="26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5">
      <c r="A68" s="121" t="s">
        <v>102</v>
      </c>
      <c r="B68" s="184">
        <f>(B67/B66)*(B65/B64)*(B63/B62)*(B61/B60)*B59</f>
        <v>10000</v>
      </c>
      <c r="C68" s="302" t="s">
        <v>103</v>
      </c>
      <c r="D68" s="305">
        <v>672.64</v>
      </c>
      <c r="E68" s="173">
        <v>1</v>
      </c>
      <c r="F68" s="174">
        <v>25748318</v>
      </c>
      <c r="G68" s="260">
        <f>IF(ISBLANK(F68),"-",(F68/$D$50*$D$47*$B$68)*($B$57/$D$68))</f>
        <v>532.88199240159929</v>
      </c>
      <c r="H68" s="177">
        <f t="shared" si="0"/>
        <v>1.0657639848031986</v>
      </c>
    </row>
    <row r="69" spans="1:8" ht="27" customHeight="1" x14ac:dyDescent="0.5">
      <c r="A69" s="164" t="s">
        <v>104</v>
      </c>
      <c r="B69" s="185">
        <f>(D47*B68)/B56*B57</f>
        <v>675.21949999999993</v>
      </c>
      <c r="C69" s="303"/>
      <c r="D69" s="306"/>
      <c r="E69" s="176">
        <v>2</v>
      </c>
      <c r="F69" s="133">
        <v>25740136</v>
      </c>
      <c r="G69" s="261">
        <f>IF(ISBLANK(F69),"-",(F69/$D$50*$D$47*$B$68)*($B$57/$D$68))</f>
        <v>532.71265938101794</v>
      </c>
      <c r="H69" s="177">
        <f t="shared" si="0"/>
        <v>1.0654253187620359</v>
      </c>
    </row>
    <row r="70" spans="1:8" ht="26.25" customHeight="1" x14ac:dyDescent="0.45">
      <c r="A70" s="315" t="s">
        <v>78</v>
      </c>
      <c r="B70" s="316"/>
      <c r="C70" s="303"/>
      <c r="D70" s="306"/>
      <c r="E70" s="176">
        <v>3</v>
      </c>
      <c r="F70" s="133">
        <v>25707254</v>
      </c>
      <c r="G70" s="261">
        <f>IF(ISBLANK(F70),"-",(F70/$D$50*$D$47*$B$68)*($B$57/$D$68))</f>
        <v>532.03214014577497</v>
      </c>
      <c r="H70" s="177">
        <f t="shared" si="0"/>
        <v>1.0640642802915499</v>
      </c>
    </row>
    <row r="71" spans="1:8" ht="27" customHeight="1" x14ac:dyDescent="0.45">
      <c r="A71" s="317"/>
      <c r="B71" s="318"/>
      <c r="C71" s="314"/>
      <c r="D71" s="307"/>
      <c r="E71" s="179">
        <v>4</v>
      </c>
      <c r="F71" s="180"/>
      <c r="G71" s="262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5">
      <c r="A72" s="187"/>
      <c r="B72" s="187"/>
      <c r="C72" s="187"/>
      <c r="D72" s="187"/>
      <c r="E72" s="187"/>
      <c r="F72" s="189" t="s">
        <v>71</v>
      </c>
      <c r="G72" s="267">
        <f>AVERAGE(G60:G71)</f>
        <v>538.86091430562703</v>
      </c>
      <c r="H72" s="190">
        <f>AVERAGE(H60:H71)</f>
        <v>1.0777218286112542</v>
      </c>
    </row>
    <row r="73" spans="1:8" ht="26.25" customHeight="1" x14ac:dyDescent="0.45">
      <c r="C73" s="187"/>
      <c r="D73" s="187"/>
      <c r="E73" s="187"/>
      <c r="F73" s="191" t="s">
        <v>84</v>
      </c>
      <c r="G73" s="263">
        <f>STDEV(G60:G71)/G72</f>
        <v>9.8171567343519599E-3</v>
      </c>
      <c r="H73" s="263">
        <f>STDEV(H60:H71)/H72</f>
        <v>9.8171567343519617E-3</v>
      </c>
    </row>
    <row r="74" spans="1:8" ht="27" customHeight="1" x14ac:dyDescent="0.45">
      <c r="A74" s="187"/>
      <c r="B74" s="187"/>
      <c r="C74" s="188"/>
      <c r="D74" s="188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5">
      <c r="A76" s="106" t="s">
        <v>105</v>
      </c>
      <c r="B76" s="195" t="s">
        <v>106</v>
      </c>
      <c r="C76" s="310" t="str">
        <f>B20</f>
        <v>Ornidazole</v>
      </c>
      <c r="D76" s="310"/>
      <c r="E76" s="196" t="s">
        <v>107</v>
      </c>
      <c r="F76" s="196"/>
      <c r="G76" s="197">
        <f>H72</f>
        <v>1.0777218286112542</v>
      </c>
      <c r="H76" s="198"/>
    </row>
    <row r="77" spans="1:8" ht="18" x14ac:dyDescent="0.35">
      <c r="A77" s="105" t="s">
        <v>108</v>
      </c>
      <c r="B77" s="105" t="s">
        <v>109</v>
      </c>
    </row>
    <row r="78" spans="1:8" ht="18" x14ac:dyDescent="0.35">
      <c r="A78" s="105"/>
      <c r="B78" s="105"/>
    </row>
    <row r="79" spans="1:8" ht="26.25" customHeight="1" x14ac:dyDescent="0.45">
      <c r="A79" s="106" t="s">
        <v>4</v>
      </c>
      <c r="B79" s="296" t="str">
        <f>B26</f>
        <v>Ornidazole</v>
      </c>
      <c r="C79" s="296"/>
    </row>
    <row r="80" spans="1:8" ht="26.25" customHeight="1" x14ac:dyDescent="0.45">
      <c r="A80" s="107" t="s">
        <v>48</v>
      </c>
      <c r="B80" s="296" t="str">
        <f>B27</f>
        <v>O17 3</v>
      </c>
      <c r="C80" s="296"/>
    </row>
    <row r="81" spans="1:10" ht="27" customHeight="1" x14ac:dyDescent="0.45">
      <c r="A81" s="107" t="s">
        <v>6</v>
      </c>
      <c r="B81" s="199">
        <f>B28</f>
        <v>98.57</v>
      </c>
    </row>
    <row r="82" spans="1:10" s="320" customFormat="1" ht="27" customHeight="1" x14ac:dyDescent="0.5">
      <c r="A82" s="107" t="s">
        <v>49</v>
      </c>
      <c r="B82" s="109">
        <v>0</v>
      </c>
      <c r="C82" s="287" t="s">
        <v>50</v>
      </c>
      <c r="D82" s="288"/>
      <c r="E82" s="288"/>
      <c r="F82" s="288"/>
      <c r="G82" s="289"/>
      <c r="H82" s="14"/>
      <c r="I82" s="110"/>
      <c r="J82" s="110"/>
    </row>
    <row r="83" spans="1:10" s="320" customFormat="1" ht="19.5" customHeight="1" x14ac:dyDescent="0.35">
      <c r="A83" s="107" t="s">
        <v>51</v>
      </c>
      <c r="B83" s="111">
        <f>B81-B82</f>
        <v>98.57</v>
      </c>
      <c r="C83" s="112"/>
      <c r="D83" s="112"/>
      <c r="E83" s="112"/>
      <c r="F83" s="112"/>
      <c r="G83" s="113"/>
      <c r="H83" s="14"/>
      <c r="I83" s="110"/>
      <c r="J83" s="110"/>
    </row>
    <row r="84" spans="1:10" s="320" customFormat="1" ht="27" customHeight="1" x14ac:dyDescent="0.45">
      <c r="A84" s="107" t="s">
        <v>52</v>
      </c>
      <c r="B84" s="114">
        <v>1</v>
      </c>
      <c r="C84" s="290" t="s">
        <v>110</v>
      </c>
      <c r="D84" s="291"/>
      <c r="E84" s="291"/>
      <c r="F84" s="291"/>
      <c r="G84" s="291"/>
      <c r="H84" s="292"/>
      <c r="I84" s="110"/>
      <c r="J84" s="110"/>
    </row>
    <row r="85" spans="1:10" s="320" customFormat="1" ht="27" customHeight="1" x14ac:dyDescent="0.45">
      <c r="A85" s="107" t="s">
        <v>54</v>
      </c>
      <c r="B85" s="114">
        <v>1</v>
      </c>
      <c r="C85" s="290" t="s">
        <v>111</v>
      </c>
      <c r="D85" s="291"/>
      <c r="E85" s="291"/>
      <c r="F85" s="291"/>
      <c r="G85" s="291"/>
      <c r="H85" s="292"/>
      <c r="I85" s="110"/>
      <c r="J85" s="110"/>
    </row>
    <row r="86" spans="1:10" s="320" customFormat="1" ht="18" x14ac:dyDescent="0.35">
      <c r="A86" s="107"/>
      <c r="B86" s="116"/>
      <c r="C86" s="117"/>
      <c r="D86" s="117"/>
      <c r="E86" s="117"/>
      <c r="F86" s="117"/>
      <c r="G86" s="117"/>
      <c r="H86" s="117"/>
      <c r="I86" s="110"/>
      <c r="J86" s="110"/>
    </row>
    <row r="87" spans="1:10" s="320" customFormat="1" ht="18" x14ac:dyDescent="0.35">
      <c r="A87" s="107" t="s">
        <v>56</v>
      </c>
      <c r="B87" s="118">
        <f>B84/B85</f>
        <v>1</v>
      </c>
      <c r="C87" s="97" t="s">
        <v>57</v>
      </c>
      <c r="D87" s="97"/>
      <c r="E87" s="97"/>
      <c r="F87" s="97"/>
      <c r="G87" s="97"/>
      <c r="I87" s="110"/>
      <c r="J87" s="110"/>
    </row>
    <row r="88" spans="1:10" ht="19.5" customHeight="1" x14ac:dyDescent="0.35">
      <c r="A88" s="105"/>
      <c r="B88" s="105"/>
    </row>
    <row r="89" spans="1:10" ht="27" customHeight="1" x14ac:dyDescent="0.45">
      <c r="A89" s="119" t="s">
        <v>58</v>
      </c>
      <c r="B89" s="120">
        <v>50</v>
      </c>
      <c r="D89" s="200" t="s">
        <v>59</v>
      </c>
      <c r="E89" s="201"/>
      <c r="F89" s="293" t="s">
        <v>60</v>
      </c>
      <c r="G89" s="295"/>
    </row>
    <row r="90" spans="1:10" ht="27" customHeight="1" x14ac:dyDescent="0.45">
      <c r="A90" s="121" t="s">
        <v>61</v>
      </c>
      <c r="B90" s="122">
        <v>5</v>
      </c>
      <c r="C90" s="202" t="s">
        <v>62</v>
      </c>
      <c r="D90" s="124" t="s">
        <v>63</v>
      </c>
      <c r="E90" s="125" t="s">
        <v>64</v>
      </c>
      <c r="F90" s="124" t="s">
        <v>63</v>
      </c>
      <c r="G90" s="203" t="s">
        <v>64</v>
      </c>
      <c r="I90" s="126" t="s">
        <v>65</v>
      </c>
    </row>
    <row r="91" spans="1:10" ht="26.25" customHeight="1" x14ac:dyDescent="0.45">
      <c r="A91" s="121" t="s">
        <v>66</v>
      </c>
      <c r="B91" s="122">
        <v>50</v>
      </c>
      <c r="C91" s="204">
        <v>1</v>
      </c>
      <c r="D91" s="128">
        <v>23234276</v>
      </c>
      <c r="E91" s="129">
        <f>IF(ISBLANK(D91),"-",$D$101/$D$98*D91)</f>
        <v>27045006.943176545</v>
      </c>
      <c r="F91" s="128">
        <v>23955990</v>
      </c>
      <c r="G91" s="130">
        <f>IF(ISBLANK(F91),"-",$D$101/$F$98*F91)</f>
        <v>26832196.703264743</v>
      </c>
      <c r="I91" s="131"/>
    </row>
    <row r="92" spans="1:10" ht="26.25" customHeight="1" x14ac:dyDescent="0.45">
      <c r="A92" s="121" t="s">
        <v>67</v>
      </c>
      <c r="B92" s="122">
        <v>1</v>
      </c>
      <c r="C92" s="188">
        <v>2</v>
      </c>
      <c r="D92" s="133">
        <v>23215712</v>
      </c>
      <c r="E92" s="134">
        <f>IF(ISBLANK(D92),"-",$D$101/$D$98*D92)</f>
        <v>27023398.199745368</v>
      </c>
      <c r="F92" s="133">
        <v>23965216</v>
      </c>
      <c r="G92" s="135">
        <f>IF(ISBLANK(F92),"-",$D$101/$F$98*F92)</f>
        <v>26842530.39629034</v>
      </c>
      <c r="I92" s="297">
        <f>ABS((F96/D96*D95)-F95)/D95</f>
        <v>6.9508908107405436E-3</v>
      </c>
    </row>
    <row r="93" spans="1:10" ht="26.25" customHeight="1" x14ac:dyDescent="0.45">
      <c r="A93" s="121" t="s">
        <v>68</v>
      </c>
      <c r="B93" s="122">
        <v>1</v>
      </c>
      <c r="C93" s="188">
        <v>3</v>
      </c>
      <c r="D93" s="133">
        <v>23232831</v>
      </c>
      <c r="E93" s="134">
        <f>IF(ISBLANK(D93),"-",$D$101/$D$98*D93)</f>
        <v>27043324.94391679</v>
      </c>
      <c r="F93" s="133">
        <v>24011608</v>
      </c>
      <c r="G93" s="135">
        <f>IF(ISBLANK(F93),"-",$D$101/$F$98*F93)</f>
        <v>26894492.317691121</v>
      </c>
      <c r="I93" s="297"/>
    </row>
    <row r="94" spans="1:10" ht="27" customHeight="1" x14ac:dyDescent="0.45">
      <c r="A94" s="121" t="s">
        <v>69</v>
      </c>
      <c r="B94" s="122">
        <v>1</v>
      </c>
      <c r="C94" s="205">
        <v>4</v>
      </c>
      <c r="D94" s="138"/>
      <c r="E94" s="139" t="str">
        <f>IF(ISBLANK(D94),"-",$D$101/$D$98*D94)</f>
        <v>-</v>
      </c>
      <c r="F94" s="206"/>
      <c r="G94" s="140" t="str">
        <f>IF(ISBLANK(F94),"-",$D$101/$F$98*F94)</f>
        <v>-</v>
      </c>
      <c r="I94" s="141"/>
    </row>
    <row r="95" spans="1:10" ht="27" customHeight="1" x14ac:dyDescent="0.45">
      <c r="A95" s="121" t="s">
        <v>70</v>
      </c>
      <c r="B95" s="122">
        <v>1</v>
      </c>
      <c r="C95" s="207" t="s">
        <v>71</v>
      </c>
      <c r="D95" s="208">
        <f>AVERAGE(D91:D94)</f>
        <v>23227606.333333332</v>
      </c>
      <c r="E95" s="144">
        <f>AVERAGE(E91:E94)</f>
        <v>27037243.362279564</v>
      </c>
      <c r="F95" s="209">
        <f>AVERAGE(F91:F94)</f>
        <v>23977604.666666668</v>
      </c>
      <c r="G95" s="210">
        <f>AVERAGE(G91:G94)</f>
        <v>26856406.472415403</v>
      </c>
    </row>
    <row r="96" spans="1:10" ht="26.25" customHeight="1" x14ac:dyDescent="0.45">
      <c r="A96" s="121" t="s">
        <v>72</v>
      </c>
      <c r="B96" s="108">
        <v>1</v>
      </c>
      <c r="C96" s="211" t="s">
        <v>112</v>
      </c>
      <c r="D96" s="212">
        <v>24.21</v>
      </c>
      <c r="E96" s="136"/>
      <c r="F96" s="147">
        <v>25.16</v>
      </c>
    </row>
    <row r="97" spans="1:8" ht="26.25" customHeight="1" x14ac:dyDescent="0.45">
      <c r="A97" s="121" t="s">
        <v>74</v>
      </c>
      <c r="B97" s="108">
        <v>1</v>
      </c>
      <c r="C97" s="213" t="s">
        <v>113</v>
      </c>
      <c r="D97" s="214">
        <f>D96*$B$87</f>
        <v>24.21</v>
      </c>
      <c r="E97" s="150"/>
      <c r="F97" s="149">
        <f>F96*$B$87</f>
        <v>25.16</v>
      </c>
    </row>
    <row r="98" spans="1:8" ht="19.5" customHeight="1" x14ac:dyDescent="0.35">
      <c r="A98" s="121" t="s">
        <v>76</v>
      </c>
      <c r="B98" s="215">
        <f>(B97/B96)*(B95/B94)*(B93/B92)*(B91/B90)*B89</f>
        <v>500</v>
      </c>
      <c r="C98" s="213" t="s">
        <v>114</v>
      </c>
      <c r="D98" s="216">
        <f>D97*$B$83/100</f>
        <v>23.863796999999998</v>
      </c>
      <c r="E98" s="153"/>
      <c r="F98" s="152">
        <f>F97*$B$83/100</f>
        <v>24.800211999999998</v>
      </c>
    </row>
    <row r="99" spans="1:8" ht="19.5" customHeight="1" x14ac:dyDescent="0.35">
      <c r="A99" s="298" t="s">
        <v>78</v>
      </c>
      <c r="B99" s="312"/>
      <c r="C99" s="213" t="s">
        <v>79</v>
      </c>
      <c r="D99" s="217">
        <f>D98/$B$98</f>
        <v>4.7727593999999998E-2</v>
      </c>
      <c r="E99" s="153"/>
      <c r="F99" s="156">
        <f>F98/$B$98</f>
        <v>4.9600423999999997E-2</v>
      </c>
      <c r="G99" s="218"/>
      <c r="H99" s="145"/>
    </row>
    <row r="100" spans="1:8" ht="19.5" customHeight="1" x14ac:dyDescent="0.35">
      <c r="A100" s="300"/>
      <c r="B100" s="313"/>
      <c r="C100" s="213" t="s">
        <v>80</v>
      </c>
      <c r="D100" s="219">
        <f>$B$56/$B$116</f>
        <v>5.5555555555555552E-2</v>
      </c>
      <c r="F100" s="161"/>
      <c r="G100" s="220"/>
      <c r="H100" s="145"/>
    </row>
    <row r="101" spans="1:8" ht="18" x14ac:dyDescent="0.35">
      <c r="C101" s="213" t="s">
        <v>81</v>
      </c>
      <c r="D101" s="214">
        <f>D100*$B$98</f>
        <v>27.777777777777775</v>
      </c>
      <c r="F101" s="161"/>
      <c r="G101" s="218"/>
      <c r="H101" s="145"/>
    </row>
    <row r="102" spans="1:8" ht="19.5" customHeight="1" x14ac:dyDescent="0.35">
      <c r="C102" s="221" t="s">
        <v>82</v>
      </c>
      <c r="D102" s="222">
        <f>D101/B34</f>
        <v>27.777777777777775</v>
      </c>
      <c r="F102" s="163"/>
      <c r="G102" s="218"/>
      <c r="H102" s="145"/>
    </row>
    <row r="103" spans="1:8" ht="18" x14ac:dyDescent="0.35">
      <c r="C103" s="223" t="s">
        <v>115</v>
      </c>
      <c r="D103" s="224">
        <f>AVERAGE(E91:E94,G91:G94)</f>
        <v>26946824.91734748</v>
      </c>
      <c r="F103" s="163"/>
      <c r="G103" s="225"/>
      <c r="H103" s="145"/>
    </row>
    <row r="104" spans="1:8" ht="18" x14ac:dyDescent="0.35">
      <c r="C104" s="191" t="s">
        <v>84</v>
      </c>
      <c r="D104" s="226">
        <f>STDEV(E91:E94,G91:G94)/D103</f>
        <v>3.768865424960409E-3</v>
      </c>
      <c r="F104" s="163"/>
      <c r="G104" s="218"/>
      <c r="H104" s="145"/>
    </row>
    <row r="105" spans="1:8" ht="19.5" customHeight="1" x14ac:dyDescent="0.35">
      <c r="C105" s="193" t="s">
        <v>20</v>
      </c>
      <c r="D105" s="227">
        <f>COUNT(E91:E94,G91:G94)</f>
        <v>6</v>
      </c>
      <c r="F105" s="163"/>
      <c r="G105" s="218"/>
      <c r="H105" s="145"/>
    </row>
    <row r="106" spans="1:8" ht="19.5" customHeight="1" x14ac:dyDescent="0.35">
      <c r="A106" s="165"/>
      <c r="B106" s="165"/>
      <c r="C106" s="165"/>
      <c r="D106" s="165"/>
      <c r="E106" s="165"/>
    </row>
    <row r="107" spans="1:8" ht="26.25" customHeight="1" x14ac:dyDescent="0.45">
      <c r="A107" s="119" t="s">
        <v>116</v>
      </c>
      <c r="B107" s="120">
        <v>900</v>
      </c>
      <c r="C107" s="228" t="s">
        <v>125</v>
      </c>
      <c r="D107" s="229" t="s">
        <v>63</v>
      </c>
      <c r="E107" s="230" t="s">
        <v>117</v>
      </c>
      <c r="F107" s="231" t="s">
        <v>118</v>
      </c>
    </row>
    <row r="108" spans="1:8" ht="26.25" customHeight="1" x14ac:dyDescent="0.45">
      <c r="A108" s="121" t="s">
        <v>119</v>
      </c>
      <c r="B108" s="122">
        <v>2</v>
      </c>
      <c r="C108" s="232">
        <v>1</v>
      </c>
      <c r="D108" s="233">
        <v>28846936</v>
      </c>
      <c r="E108" s="264">
        <f t="shared" ref="E108:E113" si="1">IF(ISBLANK(D108),"-",D108/$D$103*$D$100*$B$116)</f>
        <v>535.25667844877137</v>
      </c>
      <c r="F108" s="234">
        <f t="shared" ref="F108:F113" si="2">IF(ISBLANK(D108), "-", E108/$B$56)</f>
        <v>1.0705133568975427</v>
      </c>
    </row>
    <row r="109" spans="1:8" ht="26.25" customHeight="1" x14ac:dyDescent="0.45">
      <c r="A109" s="121" t="s">
        <v>94</v>
      </c>
      <c r="B109" s="122">
        <v>20</v>
      </c>
      <c r="C109" s="232">
        <v>2</v>
      </c>
      <c r="D109" s="233">
        <v>28539470</v>
      </c>
      <c r="E109" s="265">
        <f t="shared" si="1"/>
        <v>529.55162783625804</v>
      </c>
      <c r="F109" s="235">
        <f t="shared" si="2"/>
        <v>1.0591032556725162</v>
      </c>
    </row>
    <row r="110" spans="1:8" ht="26.25" customHeight="1" x14ac:dyDescent="0.45">
      <c r="A110" s="121" t="s">
        <v>95</v>
      </c>
      <c r="B110" s="122">
        <v>1</v>
      </c>
      <c r="C110" s="232">
        <v>3</v>
      </c>
      <c r="D110" s="233">
        <v>26859782</v>
      </c>
      <c r="E110" s="265">
        <f t="shared" si="1"/>
        <v>498.38491329471168</v>
      </c>
      <c r="F110" s="235">
        <f t="shared" si="2"/>
        <v>0.99676982658942337</v>
      </c>
    </row>
    <row r="111" spans="1:8" ht="26.25" customHeight="1" x14ac:dyDescent="0.45">
      <c r="A111" s="121" t="s">
        <v>96</v>
      </c>
      <c r="B111" s="122">
        <v>1</v>
      </c>
      <c r="C111" s="232">
        <v>4</v>
      </c>
      <c r="D111" s="233">
        <v>28383861</v>
      </c>
      <c r="E111" s="265">
        <f t="shared" si="1"/>
        <v>526.66429323417992</v>
      </c>
      <c r="F111" s="235">
        <f t="shared" si="2"/>
        <v>1.0533285864683599</v>
      </c>
    </row>
    <row r="112" spans="1:8" ht="26.25" customHeight="1" x14ac:dyDescent="0.45">
      <c r="A112" s="121" t="s">
        <v>97</v>
      </c>
      <c r="B112" s="122">
        <v>1</v>
      </c>
      <c r="C112" s="232">
        <v>5</v>
      </c>
      <c r="D112" s="233">
        <v>25867687</v>
      </c>
      <c r="E112" s="265">
        <f t="shared" si="1"/>
        <v>479.97652931917833</v>
      </c>
      <c r="F112" s="235">
        <f t="shared" si="2"/>
        <v>0.95995305863835667</v>
      </c>
    </row>
    <row r="113" spans="1:9" ht="26.25" customHeight="1" x14ac:dyDescent="0.45">
      <c r="A113" s="121" t="s">
        <v>99</v>
      </c>
      <c r="B113" s="122">
        <v>1</v>
      </c>
      <c r="C113" s="236">
        <v>6</v>
      </c>
      <c r="D113" s="237">
        <v>25883550</v>
      </c>
      <c r="E113" s="266">
        <f t="shared" si="1"/>
        <v>480.27086826353741</v>
      </c>
      <c r="F113" s="238">
        <f t="shared" si="2"/>
        <v>0.96054173652707486</v>
      </c>
    </row>
    <row r="114" spans="1:9" ht="26.25" customHeight="1" x14ac:dyDescent="0.45">
      <c r="A114" s="121" t="s">
        <v>100</v>
      </c>
      <c r="B114" s="122">
        <v>1</v>
      </c>
      <c r="C114" s="232"/>
      <c r="D114" s="188"/>
      <c r="E114" s="96"/>
      <c r="F114" s="239"/>
    </row>
    <row r="115" spans="1:9" ht="26.25" customHeight="1" x14ac:dyDescent="0.45">
      <c r="A115" s="121" t="s">
        <v>101</v>
      </c>
      <c r="B115" s="122">
        <v>1</v>
      </c>
      <c r="C115" s="232"/>
      <c r="D115" s="240" t="s">
        <v>71</v>
      </c>
      <c r="E115" s="268">
        <f>AVERAGE(E108:E113)</f>
        <v>508.3508183994395</v>
      </c>
      <c r="F115" s="241">
        <f>AVERAGE(F108:F113)</f>
        <v>1.016701636798879</v>
      </c>
    </row>
    <row r="116" spans="1:9" ht="27" customHeight="1" x14ac:dyDescent="0.45">
      <c r="A116" s="121" t="s">
        <v>102</v>
      </c>
      <c r="B116" s="151">
        <f>(B115/B114)*(B113/B112)*(B111/B110)*(B109/B108)*B107</f>
        <v>9000</v>
      </c>
      <c r="C116" s="242"/>
      <c r="D116" s="207" t="s">
        <v>84</v>
      </c>
      <c r="E116" s="243">
        <f>STDEV(E108:E113)/E115</f>
        <v>4.9778390251109604E-2</v>
      </c>
      <c r="F116" s="243">
        <f>STDEV(F108:F113)/F115</f>
        <v>4.9778390251109604E-2</v>
      </c>
      <c r="I116" s="96"/>
    </row>
    <row r="117" spans="1:9" ht="27" customHeight="1" x14ac:dyDescent="0.45">
      <c r="A117" s="298" t="s">
        <v>78</v>
      </c>
      <c r="B117" s="299"/>
      <c r="C117" s="244"/>
      <c r="D117" s="245" t="s">
        <v>20</v>
      </c>
      <c r="E117" s="246">
        <f>COUNT(E108:E113)</f>
        <v>6</v>
      </c>
      <c r="F117" s="246">
        <f>COUNT(F108:F113)</f>
        <v>6</v>
      </c>
      <c r="I117" s="96"/>
    </row>
    <row r="118" spans="1:9" ht="19.5" customHeight="1" x14ac:dyDescent="0.35">
      <c r="A118" s="300"/>
      <c r="B118" s="301"/>
      <c r="C118" s="96"/>
      <c r="D118" s="96"/>
      <c r="E118" s="96"/>
      <c r="F118" s="188"/>
      <c r="G118" s="96"/>
      <c r="H118" s="96"/>
      <c r="I118" s="96"/>
    </row>
    <row r="119" spans="1:9" ht="18" x14ac:dyDescent="0.35">
      <c r="A119" s="255"/>
      <c r="B119" s="117"/>
      <c r="C119" s="96"/>
      <c r="D119" s="96"/>
      <c r="E119" s="96"/>
      <c r="F119" s="188"/>
      <c r="G119" s="96"/>
      <c r="H119" s="96"/>
      <c r="I119" s="96"/>
    </row>
    <row r="120" spans="1:9" ht="26.25" customHeight="1" x14ac:dyDescent="0.45">
      <c r="A120" s="106" t="s">
        <v>105</v>
      </c>
      <c r="B120" s="195" t="s">
        <v>120</v>
      </c>
      <c r="C120" s="310" t="str">
        <f>B20</f>
        <v>Ornidazole</v>
      </c>
      <c r="D120" s="310"/>
      <c r="E120" s="196" t="s">
        <v>121</v>
      </c>
      <c r="F120" s="196"/>
      <c r="G120" s="197">
        <f>F115</f>
        <v>1.016701636798879</v>
      </c>
      <c r="H120" s="96"/>
      <c r="I120" s="96"/>
    </row>
    <row r="121" spans="1:9" ht="19.5" customHeight="1" x14ac:dyDescent="0.35">
      <c r="A121" s="247"/>
      <c r="B121" s="247"/>
      <c r="C121" s="248"/>
      <c r="D121" s="248"/>
      <c r="E121" s="248"/>
      <c r="F121" s="248"/>
      <c r="G121" s="248"/>
      <c r="H121" s="248"/>
    </row>
    <row r="122" spans="1:9" ht="18" x14ac:dyDescent="0.35">
      <c r="B122" s="311" t="s">
        <v>26</v>
      </c>
      <c r="C122" s="311"/>
      <c r="E122" s="202" t="s">
        <v>27</v>
      </c>
      <c r="F122" s="249"/>
      <c r="G122" s="311" t="s">
        <v>28</v>
      </c>
      <c r="H122" s="311"/>
    </row>
    <row r="123" spans="1:9" ht="69.900000000000006" customHeight="1" x14ac:dyDescent="0.35">
      <c r="A123" s="250" t="s">
        <v>29</v>
      </c>
      <c r="B123" s="251"/>
      <c r="C123" s="251"/>
      <c r="E123" s="251"/>
      <c r="F123" s="96"/>
      <c r="G123" s="252"/>
      <c r="H123" s="252"/>
    </row>
    <row r="124" spans="1:9" ht="69.900000000000006" customHeight="1" x14ac:dyDescent="0.35">
      <c r="A124" s="250" t="s">
        <v>30</v>
      </c>
      <c r="B124" s="253"/>
      <c r="C124" s="253"/>
      <c r="E124" s="253"/>
      <c r="F124" s="96"/>
      <c r="G124" s="254"/>
      <c r="H124" s="254"/>
    </row>
    <row r="125" spans="1:9" ht="18" x14ac:dyDescent="0.35">
      <c r="A125" s="187"/>
      <c r="B125" s="187"/>
      <c r="C125" s="188"/>
      <c r="D125" s="188"/>
      <c r="E125" s="188"/>
      <c r="F125" s="192"/>
      <c r="G125" s="188"/>
      <c r="H125" s="188"/>
      <c r="I125" s="96"/>
    </row>
    <row r="126" spans="1:9" ht="18" x14ac:dyDescent="0.35">
      <c r="A126" s="187"/>
      <c r="B126" s="187"/>
      <c r="C126" s="188"/>
      <c r="D126" s="188"/>
      <c r="E126" s="188"/>
      <c r="F126" s="192"/>
      <c r="G126" s="188"/>
      <c r="H126" s="188"/>
      <c r="I126" s="96"/>
    </row>
    <row r="127" spans="1:9" ht="18" x14ac:dyDescent="0.35">
      <c r="A127" s="187"/>
      <c r="B127" s="187"/>
      <c r="C127" s="188"/>
      <c r="D127" s="188"/>
      <c r="E127" s="188"/>
      <c r="F127" s="192"/>
      <c r="G127" s="188"/>
      <c r="H127" s="188"/>
      <c r="I127" s="96"/>
    </row>
    <row r="128" spans="1:9" ht="18" x14ac:dyDescent="0.35">
      <c r="A128" s="187"/>
      <c r="B128" s="187"/>
      <c r="C128" s="188"/>
      <c r="D128" s="188"/>
      <c r="E128" s="188"/>
      <c r="F128" s="192"/>
      <c r="G128" s="188"/>
      <c r="H128" s="188"/>
      <c r="I128" s="96"/>
    </row>
    <row r="129" spans="1:9" ht="18" x14ac:dyDescent="0.35">
      <c r="A129" s="187"/>
      <c r="B129" s="187"/>
      <c r="C129" s="188"/>
      <c r="D129" s="188"/>
      <c r="E129" s="188"/>
      <c r="F129" s="192"/>
      <c r="G129" s="188"/>
      <c r="H129" s="188"/>
      <c r="I129" s="96"/>
    </row>
    <row r="130" spans="1:9" ht="18" x14ac:dyDescent="0.35">
      <c r="A130" s="187"/>
      <c r="B130" s="187"/>
      <c r="C130" s="188"/>
      <c r="D130" s="188"/>
      <c r="E130" s="188"/>
      <c r="F130" s="192"/>
      <c r="G130" s="188"/>
      <c r="H130" s="188"/>
      <c r="I130" s="96"/>
    </row>
    <row r="131" spans="1:9" ht="18" x14ac:dyDescent="0.35">
      <c r="A131" s="187"/>
      <c r="B131" s="187"/>
      <c r="C131" s="188"/>
      <c r="D131" s="188"/>
      <c r="E131" s="188"/>
      <c r="F131" s="192"/>
      <c r="G131" s="188"/>
      <c r="H131" s="188"/>
      <c r="I131" s="96"/>
    </row>
    <row r="132" spans="1:9" ht="18" x14ac:dyDescent="0.35">
      <c r="A132" s="187"/>
      <c r="B132" s="187"/>
      <c r="C132" s="188"/>
      <c r="D132" s="188"/>
      <c r="E132" s="188"/>
      <c r="F132" s="192"/>
      <c r="G132" s="188"/>
      <c r="H132" s="188"/>
      <c r="I132" s="96"/>
    </row>
    <row r="133" spans="1:9" ht="18" x14ac:dyDescent="0.35">
      <c r="A133" s="187"/>
      <c r="B133" s="187"/>
      <c r="C133" s="188"/>
      <c r="D133" s="188"/>
      <c r="E133" s="188"/>
      <c r="F133" s="192"/>
      <c r="G133" s="188"/>
      <c r="H133" s="188"/>
      <c r="I133" s="96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0" priority="2" operator="greaterThan">
      <formula>0.02</formula>
    </cfRule>
  </conditionalFormatting>
  <conditionalFormatting sqref="D51">
    <cfRule type="cellIs" dxfId="9" priority="3" operator="greaterThan">
      <formula>0.02</formula>
    </cfRule>
  </conditionalFormatting>
  <conditionalFormatting sqref="G73">
    <cfRule type="cellIs" dxfId="8" priority="4" operator="greaterThan">
      <formula>0.02</formula>
    </cfRule>
  </conditionalFormatting>
  <conditionalFormatting sqref="D104">
    <cfRule type="cellIs" dxfId="6" priority="6" operator="greaterThan">
      <formula>0.02</formula>
    </cfRule>
  </conditionalFormatting>
  <conditionalFormatting sqref="I39">
    <cfRule type="cellIs" dxfId="5" priority="7" operator="lessThanOrEqual">
      <formula>0.02</formula>
    </cfRule>
  </conditionalFormatting>
  <conditionalFormatting sqref="I39">
    <cfRule type="cellIs" dxfId="4" priority="8" operator="greaterThan">
      <formula>0.02</formula>
    </cfRule>
  </conditionalFormatting>
  <conditionalFormatting sqref="I92">
    <cfRule type="cellIs" dxfId="3" priority="9" operator="lessThanOrEqual">
      <formula>0.02</formula>
    </cfRule>
  </conditionalFormatting>
  <conditionalFormatting sqref="I92">
    <cfRule type="cellIs" dxfId="2" priority="10" operator="greaterThan">
      <formula>0.02</formula>
    </cfRule>
  </conditionalFormatting>
  <conditionalFormatting sqref="H73">
    <cfRule type="cellIs" dxfId="1" priority="1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ornidazole</vt:lpstr>
      <vt:lpstr>ornidazole!Print_Area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2016-03-14T06:57:27Z</cp:lastPrinted>
  <dcterms:created xsi:type="dcterms:W3CDTF">2005-07-05T10:19:27Z</dcterms:created>
  <dcterms:modified xsi:type="dcterms:W3CDTF">2016-03-14T07:02:53Z</dcterms:modified>
</cp:coreProperties>
</file>