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/>
  </bookViews>
  <sheets>
    <sheet name="SST " sheetId="5" r:id="rId1"/>
    <sheet name="Uniformity" sheetId="2" r:id="rId2"/>
    <sheet name="OFLOXACIN" sheetId="3" r:id="rId3"/>
    <sheet name="ornidazole " sheetId="6" r:id="rId4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57" i="6" l="1"/>
  <c r="C120" i="6"/>
  <c r="B116" i="6"/>
  <c r="D100" i="6"/>
  <c r="B98" i="6"/>
  <c r="D101" i="6" s="1"/>
  <c r="F95" i="6"/>
  <c r="D95" i="6"/>
  <c r="I92" i="6" s="1"/>
  <c r="G94" i="6"/>
  <c r="E94" i="6"/>
  <c r="B87" i="6"/>
  <c r="F97" i="6" s="1"/>
  <c r="B81" i="6"/>
  <c r="B83" i="6" s="1"/>
  <c r="B80" i="6"/>
  <c r="B79" i="6"/>
  <c r="C76" i="6"/>
  <c r="H71" i="6"/>
  <c r="G71" i="6"/>
  <c r="B68" i="6"/>
  <c r="B69" i="6" s="1"/>
  <c r="H67" i="6"/>
  <c r="G67" i="6"/>
  <c r="H63" i="6"/>
  <c r="G63" i="6"/>
  <c r="C56" i="6"/>
  <c r="B55" i="6"/>
  <c r="D48" i="6"/>
  <c r="D49" i="6" s="1"/>
  <c r="B45" i="6"/>
  <c r="F44" i="6"/>
  <c r="F45" i="6" s="1"/>
  <c r="D44" i="6"/>
  <c r="F42" i="6"/>
  <c r="D42" i="6"/>
  <c r="G41" i="6"/>
  <c r="E41" i="6"/>
  <c r="I39" i="6"/>
  <c r="B34" i="6"/>
  <c r="B30" i="6"/>
  <c r="D45" i="6" s="1"/>
  <c r="B42" i="5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D49" i="2"/>
  <c r="C49" i="2"/>
  <c r="C46" i="2"/>
  <c r="D50" i="2" s="1"/>
  <c r="C45" i="2"/>
  <c r="D43" i="2"/>
  <c r="D40" i="2"/>
  <c r="D39" i="2"/>
  <c r="D36" i="2"/>
  <c r="D35" i="2"/>
  <c r="D32" i="2"/>
  <c r="D31" i="2"/>
  <c r="D28" i="2"/>
  <c r="D27" i="2"/>
  <c r="D24" i="2"/>
  <c r="C19" i="2"/>
  <c r="I92" i="3" l="1"/>
  <c r="D101" i="3"/>
  <c r="D102" i="3" s="1"/>
  <c r="I39" i="3"/>
  <c r="D45" i="3"/>
  <c r="D46" i="3" s="1"/>
  <c r="E38" i="6"/>
  <c r="D46" i="6"/>
  <c r="E39" i="6"/>
  <c r="G38" i="6"/>
  <c r="F46" i="6"/>
  <c r="G40" i="6"/>
  <c r="F98" i="6"/>
  <c r="F99" i="6" s="1"/>
  <c r="D102" i="6"/>
  <c r="G93" i="6"/>
  <c r="E92" i="6"/>
  <c r="G91" i="6"/>
  <c r="E91" i="6"/>
  <c r="G92" i="6"/>
  <c r="G39" i="6"/>
  <c r="D97" i="6"/>
  <c r="D98" i="6" s="1"/>
  <c r="D99" i="6" s="1"/>
  <c r="E40" i="6"/>
  <c r="D49" i="3"/>
  <c r="E40" i="3"/>
  <c r="E39" i="3"/>
  <c r="F98" i="3"/>
  <c r="F99" i="3" s="1"/>
  <c r="F44" i="3"/>
  <c r="F45" i="3" s="1"/>
  <c r="F46" i="3" s="1"/>
  <c r="B57" i="3"/>
  <c r="B69" i="3" s="1"/>
  <c r="D97" i="3"/>
  <c r="D98" i="3" s="1"/>
  <c r="D99" i="3" s="1"/>
  <c r="D25" i="2"/>
  <c r="D29" i="2"/>
  <c r="D33" i="2"/>
  <c r="D37" i="2"/>
  <c r="D41" i="2"/>
  <c r="C50" i="2"/>
  <c r="D26" i="2"/>
  <c r="D30" i="2"/>
  <c r="D34" i="2"/>
  <c r="D38" i="2"/>
  <c r="D42" i="2"/>
  <c r="B49" i="2"/>
  <c r="G92" i="3" l="1"/>
  <c r="G91" i="3"/>
  <c r="E41" i="3"/>
  <c r="G39" i="3"/>
  <c r="E38" i="3"/>
  <c r="E42" i="3" s="1"/>
  <c r="D105" i="6"/>
  <c r="D50" i="6"/>
  <c r="D52" i="6"/>
  <c r="E42" i="6"/>
  <c r="G95" i="6"/>
  <c r="G42" i="6"/>
  <c r="E93" i="6"/>
  <c r="E95" i="6" s="1"/>
  <c r="G94" i="3"/>
  <c r="G93" i="3"/>
  <c r="G40" i="3"/>
  <c r="G41" i="3"/>
  <c r="E93" i="3"/>
  <c r="G38" i="3"/>
  <c r="E94" i="3"/>
  <c r="E91" i="3"/>
  <c r="E92" i="3"/>
  <c r="G95" i="3" l="1"/>
  <c r="D50" i="3"/>
  <c r="G64" i="3" s="1"/>
  <c r="H64" i="3" s="1"/>
  <c r="G42" i="3"/>
  <c r="G68" i="6"/>
  <c r="H68" i="6" s="1"/>
  <c r="G69" i="6"/>
  <c r="H69" i="6" s="1"/>
  <c r="G66" i="6"/>
  <c r="H66" i="6" s="1"/>
  <c r="G64" i="6"/>
  <c r="H64" i="6" s="1"/>
  <c r="G62" i="6"/>
  <c r="H62" i="6" s="1"/>
  <c r="G60" i="6"/>
  <c r="D51" i="6"/>
  <c r="G70" i="6"/>
  <c r="H70" i="6" s="1"/>
  <c r="G65" i="6"/>
  <c r="H65" i="6" s="1"/>
  <c r="G61" i="6"/>
  <c r="H61" i="6" s="1"/>
  <c r="D103" i="6"/>
  <c r="E95" i="3"/>
  <c r="D105" i="3"/>
  <c r="D103" i="3"/>
  <c r="G68" i="3"/>
  <c r="H68" i="3" s="1"/>
  <c r="D52" i="3"/>
  <c r="G71" i="3" l="1"/>
  <c r="H71" i="3" s="1"/>
  <c r="G69" i="3"/>
  <c r="H69" i="3" s="1"/>
  <c r="G61" i="3"/>
  <c r="H61" i="3" s="1"/>
  <c r="G65" i="3"/>
  <c r="H65" i="3" s="1"/>
  <c r="G60" i="3"/>
  <c r="H60" i="3" s="1"/>
  <c r="G67" i="3"/>
  <c r="H67" i="3" s="1"/>
  <c r="G62" i="3"/>
  <c r="H62" i="3" s="1"/>
  <c r="G70" i="3"/>
  <c r="H70" i="3" s="1"/>
  <c r="G66" i="3"/>
  <c r="H66" i="3" s="1"/>
  <c r="G63" i="3"/>
  <c r="H63" i="3" s="1"/>
  <c r="D51" i="3"/>
  <c r="H60" i="6"/>
  <c r="G74" i="6"/>
  <c r="G72" i="6"/>
  <c r="G73" i="6" s="1"/>
  <c r="E112" i="6"/>
  <c r="F112" i="6" s="1"/>
  <c r="E110" i="6"/>
  <c r="F110" i="6" s="1"/>
  <c r="E108" i="6"/>
  <c r="E113" i="6"/>
  <c r="F113" i="6" s="1"/>
  <c r="E111" i="6"/>
  <c r="F111" i="6" s="1"/>
  <c r="E109" i="6"/>
  <c r="F109" i="6" s="1"/>
  <c r="D104" i="6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3" l="1"/>
  <c r="G73" i="3" s="1"/>
  <c r="G74" i="3"/>
  <c r="E115" i="6"/>
  <c r="E116" i="6" s="1"/>
  <c r="E117" i="6"/>
  <c r="F108" i="6"/>
  <c r="H74" i="6"/>
  <c r="H72" i="6"/>
  <c r="H74" i="3"/>
  <c r="H72" i="3"/>
  <c r="E115" i="3"/>
  <c r="E116" i="3" s="1"/>
  <c r="E117" i="3"/>
  <c r="F108" i="3"/>
  <c r="G76" i="6" l="1"/>
  <c r="H73" i="6"/>
  <c r="F117" i="6"/>
  <c r="F115" i="6"/>
  <c r="G76" i="3"/>
  <c r="H73" i="3"/>
  <c r="F117" i="3"/>
  <c r="F115" i="3"/>
  <c r="G120" i="6" l="1"/>
  <c r="F116" i="6"/>
  <c r="G120" i="3"/>
  <c r="F116" i="3"/>
</calcChain>
</file>

<file path=xl/sharedStrings.xml><?xml version="1.0" encoding="utf-8"?>
<sst xmlns="http://schemas.openxmlformats.org/spreadsheetml/2006/main" count="398" uniqueCount="132">
  <si>
    <t>HPLC System Suitability Report</t>
  </si>
  <si>
    <t>Analysis Data</t>
  </si>
  <si>
    <t>Assay</t>
  </si>
  <si>
    <t>Sample(s)</t>
  </si>
  <si>
    <t>Reference Substance:</t>
  </si>
  <si>
    <t>POLYMIC</t>
  </si>
  <si>
    <t>% age Purity:</t>
  </si>
  <si>
    <t>NDQD201509269</t>
  </si>
  <si>
    <t>Weight (mg):</t>
  </si>
  <si>
    <t>Ofloxacin
Ornidazole</t>
  </si>
  <si>
    <t>Standard Conc (mg/mL):</t>
  </si>
  <si>
    <t>Each film coated tablet contains:
Ofloxacin USP 200 mg
Ornidazole 500 mg</t>
  </si>
  <si>
    <t>2015-09-09 12:25:13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</si>
  <si>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</si>
  <si>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</si>
  <si>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</si>
  <si>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</si>
  <si>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</si>
  <si>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</si>
  <si>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</si>
  <si>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</si>
  <si>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</si>
  <si>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</si>
  <si>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</si>
  <si>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</si>
  <si>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</si>
  <si>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</si>
  <si>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</si>
  <si>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</si>
  <si>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</si>
  <si>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</si>
  <si>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</si>
  <si>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</si>
  <si>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</si>
  <si>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</si>
  <si>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</si>
  <si>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</si>
  <si>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</si>
  <si>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</si>
  <si>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</si>
  <si>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</si>
  <si>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</si>
  <si>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</si>
  <si>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</si>
  <si>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</si>
  <si>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</si>
  <si>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</si>
  <si>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</si>
  <si>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</si>
  <si>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</si>
  <si>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</si>
  <si>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</si>
  <si>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</si>
  <si>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</si>
  <si>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</si>
  <si>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</si>
  <si>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</si>
  <si>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</si>
  <si>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</si>
  <si>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</si>
  <si>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</si>
  <si>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</si>
  <si>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</si>
  <si>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</si>
  <si>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</si>
  <si>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</si>
  <si>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</si>
  <si>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</si>
  <si>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</si>
  <si>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</si>
  <si>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</si>
  <si>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</si>
  <si>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</si>
  <si>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</si>
  <si>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</si>
  <si>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</si>
  <si>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</si>
  <si>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</si>
  <si>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</si>
  <si>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</si>
  <si>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</si>
  <si>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</si>
  <si>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</si>
  <si>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</si>
  <si>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</si>
  <si>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</si>
  <si>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</si>
  <si>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</si>
  <si>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</si>
  <si>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</si>
  <si>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</si>
  <si>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</si>
  <si>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</si>
  <si>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</si>
  <si>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</si>
  <si>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</si>
  <si>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</si>
  <si>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</si>
  <si>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</si>
  <si>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</si>
  <si>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</si>
  <si>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</si>
  <si>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</si>
  <si>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</si>
  <si>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</si>
  <si>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</si>
  <si>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</si>
  <si>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</si>
  <si>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</si>
  <si>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</si>
  <si>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</si>
  <si>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</si>
  <si>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</si>
  <si>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</si>
  <si>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</si>
  <si>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</si>
  <si>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</si>
  <si>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</si>
  <si>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</si>
  <si>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</si>
  <si>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</si>
  <si>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</si>
  <si>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</si>
  <si>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</si>
  <si>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Ornidazole</t>
  </si>
  <si>
    <t>2015-09-09 12:21:52</t>
  </si>
  <si>
    <t>Ofloxacin</t>
  </si>
  <si>
    <t>Each film coated Tablet contains: ornidazole 500mg
Ornidazole 500 mg</t>
  </si>
  <si>
    <t>O17 3</t>
  </si>
  <si>
    <t>ofloxacin</t>
  </si>
  <si>
    <t>O 18 1</t>
  </si>
  <si>
    <t>E. Tanui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</si>
</sst>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24" fillId="2" borderId="0"/>
  </cellStyleXfs>
  <cellXfs count="52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3" fillId="3" borderId="29" xfId="0" applyFont="1" applyFill="1" applyBorder="1" applyAlignment="1" applyProtection="1">
      <alignment horizontal="center"/>
      <protection locked="0"/>
    </xf>
    <xf numFmtId="0" fontId="13" fillId="3" borderId="23" xfId="0" applyFont="1" applyFill="1" applyBorder="1" applyAlignment="1" applyProtection="1">
      <alignment horizontal="center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0" fontId="13" fillId="8" borderId="59" xfId="1" applyFont="1" applyFill="1" applyBorder="1" applyAlignment="1" applyProtection="1">
      <alignment horizontal="center"/>
      <protection locked="0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7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66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2" fontId="13" fillId="7" borderId="27" xfId="1" applyNumberFormat="1" applyFont="1" applyFill="1" applyBorder="1" applyAlignment="1">
      <alignment horizontal="center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6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5" fillId="3" borderId="0" xfId="0" applyFont="1" applyFill="1" applyAlignment="1" applyProtection="1">
      <alignment horizontal="left" wrapText="1"/>
      <protection locked="0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14" fillId="3" borderId="0" xfId="1" applyFont="1" applyFill="1" applyAlignment="1" applyProtection="1">
      <alignment horizontal="left" wrapText="1"/>
      <protection locked="0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15" fontId="12" fillId="2" borderId="11" xfId="1" applyNumberFormat="1" applyFont="1" applyFill="1" applyBorder="1"/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49" workbookViewId="0">
      <selection activeCell="C61" sqref="C61:E61"/>
    </sheetView>
  </sheetViews>
  <sheetFormatPr defaultRowHeight="13.5" x14ac:dyDescent="0.25"/>
  <cols>
    <col min="1" max="1" width="27.5703125" style="234" customWidth="1"/>
    <col min="2" max="2" width="20.42578125" style="234" customWidth="1"/>
    <col min="3" max="3" width="31.85546875" style="234" customWidth="1"/>
    <col min="4" max="4" width="25.85546875" style="234" customWidth="1"/>
    <col min="5" max="5" width="25.7109375" style="234" customWidth="1"/>
    <col min="6" max="6" width="23.140625" style="234" customWidth="1"/>
    <col min="7" max="7" width="28.42578125" style="234" customWidth="1"/>
    <col min="8" max="8" width="21.5703125" style="234" customWidth="1"/>
    <col min="9" max="9" width="9.140625" style="234" customWidth="1"/>
    <col min="10" max="16384" width="9.140625" style="270"/>
  </cols>
  <sheetData>
    <row r="14" spans="1:6" ht="15" customHeight="1" x14ac:dyDescent="0.3">
      <c r="A14" s="233"/>
      <c r="C14" s="235"/>
      <c r="F14" s="235"/>
    </row>
    <row r="15" spans="1:6" ht="18.75" customHeight="1" x14ac:dyDescent="0.3">
      <c r="A15" s="440" t="s">
        <v>0</v>
      </c>
      <c r="B15" s="440"/>
      <c r="C15" s="440"/>
      <c r="D15" s="440"/>
      <c r="E15" s="440"/>
    </row>
    <row r="16" spans="1:6" ht="16.5" customHeight="1" x14ac:dyDescent="0.3">
      <c r="A16" s="236" t="s">
        <v>1</v>
      </c>
      <c r="B16" s="237" t="s">
        <v>2</v>
      </c>
    </row>
    <row r="17" spans="1:5" ht="16.5" customHeight="1" x14ac:dyDescent="0.3">
      <c r="A17" s="238" t="s">
        <v>3</v>
      </c>
      <c r="B17" s="442" t="s">
        <v>5</v>
      </c>
      <c r="C17" s="442"/>
      <c r="D17" s="239"/>
      <c r="E17" s="240"/>
    </row>
    <row r="18" spans="1:5" ht="16.5" customHeight="1" x14ac:dyDescent="0.3">
      <c r="A18" s="241" t="s">
        <v>4</v>
      </c>
      <c r="B18" s="241" t="s">
        <v>124</v>
      </c>
      <c r="C18" s="240"/>
      <c r="D18" s="240"/>
      <c r="E18" s="240"/>
    </row>
    <row r="19" spans="1:5" ht="16.5" customHeight="1" x14ac:dyDescent="0.3">
      <c r="A19" s="241" t="s">
        <v>6</v>
      </c>
      <c r="B19" s="242">
        <v>98.57</v>
      </c>
      <c r="C19" s="240"/>
      <c r="D19" s="240"/>
      <c r="E19" s="240"/>
    </row>
    <row r="20" spans="1:5" ht="16.5" customHeight="1" x14ac:dyDescent="0.3">
      <c r="A20" s="238" t="s">
        <v>8</v>
      </c>
      <c r="B20" s="242">
        <v>24.21</v>
      </c>
      <c r="C20" s="240"/>
      <c r="D20" s="240"/>
      <c r="E20" s="240"/>
    </row>
    <row r="21" spans="1:5" ht="16.5" customHeight="1" x14ac:dyDescent="0.3">
      <c r="A21" s="238" t="s">
        <v>10</v>
      </c>
      <c r="B21" s="243">
        <f>B20/50*5/50</f>
        <v>4.8420000000000005E-2</v>
      </c>
      <c r="C21" s="240"/>
      <c r="D21" s="240"/>
      <c r="E21" s="240"/>
    </row>
    <row r="22" spans="1:5" ht="15.75" customHeight="1" x14ac:dyDescent="0.25">
      <c r="A22" s="240"/>
      <c r="B22" s="240" t="s">
        <v>125</v>
      </c>
      <c r="C22" s="240"/>
      <c r="D22" s="240"/>
      <c r="E22" s="240"/>
    </row>
    <row r="23" spans="1:5" ht="16.5" customHeight="1" x14ac:dyDescent="0.3">
      <c r="A23" s="244" t="s">
        <v>13</v>
      </c>
      <c r="B23" s="245" t="s">
        <v>14</v>
      </c>
      <c r="C23" s="244" t="s">
        <v>15</v>
      </c>
      <c r="D23" s="244" t="s">
        <v>16</v>
      </c>
      <c r="E23" s="244" t="s">
        <v>17</v>
      </c>
    </row>
    <row r="24" spans="1:5" ht="16.5" customHeight="1" x14ac:dyDescent="0.3">
      <c r="A24" s="246">
        <v>1</v>
      </c>
      <c r="B24" s="247">
        <v>23288510</v>
      </c>
      <c r="C24" s="247">
        <v>11098.1</v>
      </c>
      <c r="D24" s="248">
        <v>1.2</v>
      </c>
      <c r="E24" s="249">
        <v>4.9000000000000004</v>
      </c>
    </row>
    <row r="25" spans="1:5" ht="16.5" customHeight="1" x14ac:dyDescent="0.3">
      <c r="A25" s="246">
        <v>2</v>
      </c>
      <c r="B25" s="247">
        <v>23249095</v>
      </c>
      <c r="C25" s="247">
        <v>11143.9</v>
      </c>
      <c r="D25" s="248">
        <v>1.1000000000000001</v>
      </c>
      <c r="E25" s="248">
        <v>4.9000000000000004</v>
      </c>
    </row>
    <row r="26" spans="1:5" ht="16.5" customHeight="1" x14ac:dyDescent="0.3">
      <c r="A26" s="246">
        <v>3</v>
      </c>
      <c r="B26" s="247">
        <v>23328989</v>
      </c>
      <c r="C26" s="247">
        <v>11009.6</v>
      </c>
      <c r="D26" s="248">
        <v>1.1000000000000001</v>
      </c>
      <c r="E26" s="248">
        <v>4.9000000000000004</v>
      </c>
    </row>
    <row r="27" spans="1:5" ht="16.5" customHeight="1" x14ac:dyDescent="0.3">
      <c r="A27" s="246">
        <v>4</v>
      </c>
      <c r="B27" s="247">
        <v>23294272</v>
      </c>
      <c r="C27" s="247">
        <v>11059.2</v>
      </c>
      <c r="D27" s="248">
        <v>1.1000000000000001</v>
      </c>
      <c r="E27" s="248">
        <v>4.9000000000000004</v>
      </c>
    </row>
    <row r="28" spans="1:5" ht="16.5" customHeight="1" x14ac:dyDescent="0.3">
      <c r="A28" s="246">
        <v>5</v>
      </c>
      <c r="B28" s="247">
        <v>23301534</v>
      </c>
      <c r="C28" s="247">
        <v>11122.2</v>
      </c>
      <c r="D28" s="248">
        <v>1.1000000000000001</v>
      </c>
      <c r="E28" s="248">
        <v>4.9000000000000004</v>
      </c>
    </row>
    <row r="29" spans="1:5" ht="16.5" customHeight="1" x14ac:dyDescent="0.3">
      <c r="A29" s="246">
        <v>6</v>
      </c>
      <c r="B29" s="250">
        <v>23248732</v>
      </c>
      <c r="C29" s="250">
        <v>11045.6</v>
      </c>
      <c r="D29" s="251">
        <v>1.1000000000000001</v>
      </c>
      <c r="E29" s="251">
        <v>4.9000000000000004</v>
      </c>
    </row>
    <row r="30" spans="1:5" ht="16.5" customHeight="1" x14ac:dyDescent="0.3">
      <c r="A30" s="252" t="s">
        <v>18</v>
      </c>
      <c r="B30" s="253">
        <f>AVERAGE(B24:B29)</f>
        <v>23285188.666666668</v>
      </c>
      <c r="C30" s="254">
        <f>AVERAGE(C24:C29)</f>
        <v>11079.766666666668</v>
      </c>
      <c r="D30" s="255">
        <f>AVERAGE(D24:D29)</f>
        <v>1.1166666666666665</v>
      </c>
      <c r="E30" s="255">
        <f>AVERAGE(E24:E29)</f>
        <v>4.8999999999999995</v>
      </c>
    </row>
    <row r="31" spans="1:5" ht="16.5" customHeight="1" x14ac:dyDescent="0.3">
      <c r="A31" s="256" t="s">
        <v>19</v>
      </c>
      <c r="B31" s="257">
        <f>(STDEV(B24:B29)/B30)</f>
        <v>1.3459255203289824E-3</v>
      </c>
      <c r="C31" s="258"/>
      <c r="D31" s="258"/>
      <c r="E31" s="259"/>
    </row>
    <row r="32" spans="1:5" s="234" customFormat="1" ht="16.5" customHeight="1" x14ac:dyDescent="0.3">
      <c r="A32" s="260" t="s">
        <v>20</v>
      </c>
      <c r="B32" s="261">
        <f>COUNT(B24:B29)</f>
        <v>6</v>
      </c>
      <c r="C32" s="262"/>
      <c r="D32" s="263"/>
      <c r="E32" s="264"/>
    </row>
    <row r="33" spans="1:5" s="234" customFormat="1" ht="15.75" customHeight="1" x14ac:dyDescent="0.25">
      <c r="A33" s="240"/>
      <c r="B33" s="240"/>
      <c r="C33" s="240"/>
      <c r="D33" s="240"/>
      <c r="E33" s="240"/>
    </row>
    <row r="34" spans="1:5" s="234" customFormat="1" ht="16.5" customHeight="1" x14ac:dyDescent="0.3">
      <c r="A34" s="241" t="s">
        <v>21</v>
      </c>
      <c r="B34" s="265" t="s">
        <v>22</v>
      </c>
      <c r="C34" s="266"/>
      <c r="D34" s="266"/>
      <c r="E34" s="266"/>
    </row>
    <row r="35" spans="1:5" ht="16.5" customHeight="1" x14ac:dyDescent="0.3">
      <c r="A35" s="241"/>
      <c r="B35" s="265" t="s">
        <v>23</v>
      </c>
      <c r="C35" s="266"/>
      <c r="D35" s="266"/>
      <c r="E35" s="266"/>
    </row>
    <row r="36" spans="1:5" ht="16.5" customHeight="1" x14ac:dyDescent="0.3">
      <c r="A36" s="241"/>
      <c r="B36" s="265" t="s">
        <v>24</v>
      </c>
      <c r="C36" s="266"/>
      <c r="D36" s="266"/>
      <c r="E36" s="266"/>
    </row>
    <row r="37" spans="1:5" ht="15.75" customHeight="1" x14ac:dyDescent="0.25">
      <c r="A37" s="240"/>
      <c r="B37" s="240"/>
      <c r="C37" s="240"/>
      <c r="D37" s="240"/>
      <c r="E37" s="240"/>
    </row>
    <row r="38" spans="1:5" ht="16.5" customHeight="1" x14ac:dyDescent="0.3">
      <c r="A38" s="236" t="s">
        <v>1</v>
      </c>
      <c r="B38" s="237"/>
    </row>
    <row r="39" spans="1:5" ht="16.5" customHeight="1" x14ac:dyDescent="0.3">
      <c r="A39" s="241" t="s">
        <v>4</v>
      </c>
      <c r="B39" s="238" t="s">
        <v>126</v>
      </c>
      <c r="C39" s="240"/>
      <c r="D39" s="240"/>
      <c r="E39" s="240"/>
    </row>
    <row r="40" spans="1:5" ht="16.5" customHeight="1" x14ac:dyDescent="0.3">
      <c r="A40" s="241" t="s">
        <v>6</v>
      </c>
      <c r="B40" s="242">
        <v>98.57</v>
      </c>
      <c r="C40" s="240"/>
      <c r="D40" s="240"/>
      <c r="E40" s="240"/>
    </row>
    <row r="41" spans="1:5" ht="16.5" customHeight="1" x14ac:dyDescent="0.3">
      <c r="A41" s="238" t="s">
        <v>8</v>
      </c>
      <c r="B41" s="242">
        <v>20.94</v>
      </c>
      <c r="C41" s="240"/>
      <c r="D41" s="240"/>
      <c r="E41" s="240"/>
    </row>
    <row r="42" spans="1:5" ht="16.5" customHeight="1" x14ac:dyDescent="0.3">
      <c r="A42" s="238" t="s">
        <v>10</v>
      </c>
      <c r="B42" s="243">
        <f>B41/50*5/50</f>
        <v>4.1880000000000001E-2</v>
      </c>
      <c r="C42" s="240"/>
      <c r="D42" s="240"/>
      <c r="E42" s="240"/>
    </row>
    <row r="43" spans="1:5" ht="15.75" customHeight="1" x14ac:dyDescent="0.25">
      <c r="A43" s="240"/>
      <c r="B43" s="240"/>
      <c r="C43" s="240"/>
      <c r="D43" s="240"/>
      <c r="E43" s="240"/>
    </row>
    <row r="44" spans="1:5" ht="16.5" customHeight="1" x14ac:dyDescent="0.3">
      <c r="A44" s="244" t="s">
        <v>13</v>
      </c>
      <c r="B44" s="245" t="s">
        <v>14</v>
      </c>
      <c r="C44" s="244" t="s">
        <v>15</v>
      </c>
      <c r="D44" s="244" t="s">
        <v>16</v>
      </c>
      <c r="E44" s="244" t="s">
        <v>17</v>
      </c>
    </row>
    <row r="45" spans="1:5" ht="16.5" customHeight="1" x14ac:dyDescent="0.3">
      <c r="A45" s="246">
        <v>1</v>
      </c>
      <c r="B45" s="247">
        <v>76521496</v>
      </c>
      <c r="C45" s="247">
        <v>4716.7</v>
      </c>
      <c r="D45" s="248">
        <v>0.9</v>
      </c>
      <c r="E45" s="249">
        <v>3.3</v>
      </c>
    </row>
    <row r="46" spans="1:5" ht="16.5" customHeight="1" x14ac:dyDescent="0.3">
      <c r="A46" s="246">
        <v>2</v>
      </c>
      <c r="B46" s="247">
        <v>76602104</v>
      </c>
      <c r="C46" s="247">
        <v>4737.8999999999996</v>
      </c>
      <c r="D46" s="248">
        <v>0.9</v>
      </c>
      <c r="E46" s="248">
        <v>3.3</v>
      </c>
    </row>
    <row r="47" spans="1:5" ht="16.5" customHeight="1" x14ac:dyDescent="0.3">
      <c r="A47" s="246">
        <v>3</v>
      </c>
      <c r="B47" s="247">
        <v>76764520</v>
      </c>
      <c r="C47" s="247">
        <v>4720.8</v>
      </c>
      <c r="D47" s="248">
        <v>0.9</v>
      </c>
      <c r="E47" s="248">
        <v>3.3</v>
      </c>
    </row>
    <row r="48" spans="1:5" ht="16.5" customHeight="1" x14ac:dyDescent="0.3">
      <c r="A48" s="246">
        <v>4</v>
      </c>
      <c r="B48" s="247">
        <v>76869137</v>
      </c>
      <c r="C48" s="247">
        <v>4731.3</v>
      </c>
      <c r="D48" s="248">
        <v>0.9</v>
      </c>
      <c r="E48" s="248">
        <v>3.3</v>
      </c>
    </row>
    <row r="49" spans="1:7" ht="16.5" customHeight="1" x14ac:dyDescent="0.3">
      <c r="A49" s="246">
        <v>5</v>
      </c>
      <c r="B49" s="247">
        <v>76848879</v>
      </c>
      <c r="C49" s="247">
        <v>4721.3</v>
      </c>
      <c r="D49" s="248">
        <v>0.9</v>
      </c>
      <c r="E49" s="248">
        <v>3.3</v>
      </c>
    </row>
    <row r="50" spans="1:7" ht="16.5" customHeight="1" x14ac:dyDescent="0.3">
      <c r="A50" s="246">
        <v>6</v>
      </c>
      <c r="B50" s="250">
        <v>76729276</v>
      </c>
      <c r="C50" s="250">
        <v>4696.3999999999996</v>
      </c>
      <c r="D50" s="251">
        <v>0.9</v>
      </c>
      <c r="E50" s="251">
        <v>3.3</v>
      </c>
    </row>
    <row r="51" spans="1:7" ht="16.5" customHeight="1" x14ac:dyDescent="0.3">
      <c r="A51" s="252" t="s">
        <v>18</v>
      </c>
      <c r="B51" s="253">
        <f>AVERAGE(B45:B50)</f>
        <v>76722568.666666672</v>
      </c>
      <c r="C51" s="254">
        <f>AVERAGE(C45:C50)</f>
        <v>4720.7333333333327</v>
      </c>
      <c r="D51" s="255">
        <f>AVERAGE(D45:D50)</f>
        <v>0.9</v>
      </c>
      <c r="E51" s="255">
        <f>AVERAGE(E45:E50)</f>
        <v>3.3000000000000003</v>
      </c>
    </row>
    <row r="52" spans="1:7" ht="16.5" customHeight="1" x14ac:dyDescent="0.3">
      <c r="A52" s="256" t="s">
        <v>19</v>
      </c>
      <c r="B52" s="257">
        <f>(STDEV(B45:B50)/B51)</f>
        <v>1.7888713987441404E-3</v>
      </c>
      <c r="C52" s="258"/>
      <c r="D52" s="258"/>
      <c r="E52" s="259"/>
    </row>
    <row r="53" spans="1:7" s="234" customFormat="1" ht="16.5" customHeight="1" x14ac:dyDescent="0.3">
      <c r="A53" s="260" t="s">
        <v>20</v>
      </c>
      <c r="B53" s="261">
        <f>COUNT(B45:B50)</f>
        <v>6</v>
      </c>
      <c r="C53" s="262"/>
      <c r="D53" s="263"/>
      <c r="E53" s="264"/>
    </row>
    <row r="54" spans="1:7" s="234" customFormat="1" ht="15.75" customHeight="1" x14ac:dyDescent="0.25">
      <c r="A54" s="240"/>
      <c r="B54" s="240"/>
      <c r="C54" s="240"/>
      <c r="D54" s="240"/>
      <c r="E54" s="240"/>
    </row>
    <row r="55" spans="1:7" s="234" customFormat="1" ht="16.5" customHeight="1" x14ac:dyDescent="0.3">
      <c r="A55" s="241" t="s">
        <v>21</v>
      </c>
      <c r="B55" s="265" t="s">
        <v>22</v>
      </c>
      <c r="C55" s="266"/>
      <c r="D55" s="266"/>
      <c r="E55" s="266"/>
    </row>
    <row r="56" spans="1:7" ht="16.5" customHeight="1" x14ac:dyDescent="0.3">
      <c r="A56" s="241"/>
      <c r="B56" s="265" t="s">
        <v>23</v>
      </c>
      <c r="C56" s="266"/>
      <c r="D56" s="266"/>
      <c r="E56" s="266"/>
    </row>
    <row r="57" spans="1:7" ht="16.5" customHeight="1" x14ac:dyDescent="0.3">
      <c r="A57" s="241"/>
      <c r="B57" s="265" t="s">
        <v>24</v>
      </c>
      <c r="C57" s="266"/>
      <c r="D57" s="266"/>
      <c r="E57" s="266"/>
    </row>
    <row r="58" spans="1:7" ht="14.25" customHeight="1" thickBot="1" x14ac:dyDescent="0.3">
      <c r="A58" s="267"/>
      <c r="B58" s="268"/>
      <c r="D58" s="269"/>
      <c r="F58" s="270"/>
      <c r="G58" s="270"/>
    </row>
    <row r="59" spans="1:7" ht="15" customHeight="1" x14ac:dyDescent="0.3">
      <c r="B59" s="441" t="s">
        <v>25</v>
      </c>
      <c r="C59" s="441"/>
      <c r="E59" s="271" t="s">
        <v>26</v>
      </c>
      <c r="F59" s="272"/>
      <c r="G59" s="271" t="s">
        <v>27</v>
      </c>
    </row>
    <row r="60" spans="1:7" ht="15" customHeight="1" x14ac:dyDescent="0.3">
      <c r="A60" s="273" t="s">
        <v>28</v>
      </c>
      <c r="B60" s="274"/>
      <c r="C60" s="274"/>
      <c r="E60" s="274"/>
      <c r="G60" s="274"/>
    </row>
    <row r="61" spans="1:7" ht="15" customHeight="1" x14ac:dyDescent="0.3">
      <c r="A61" s="273" t="s">
        <v>29</v>
      </c>
      <c r="B61" s="275"/>
      <c r="C61" s="438" t="s">
        <v>131</v>
      </c>
      <c r="E61" s="526">
        <v>42412</v>
      </c>
      <c r="G61" s="276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59:C59"/>
    <mergeCell ref="B17:C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B54" sqref="B54:D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46" t="s">
        <v>30</v>
      </c>
      <c r="B11" s="447"/>
      <c r="C11" s="447"/>
      <c r="D11" s="447"/>
      <c r="E11" s="447"/>
      <c r="F11" s="448"/>
      <c r="G11" s="41"/>
    </row>
    <row r="12" spans="1:7" ht="16.5" customHeight="1" x14ac:dyDescent="0.3">
      <c r="A12" s="445" t="s">
        <v>31</v>
      </c>
      <c r="B12" s="445"/>
      <c r="C12" s="445"/>
      <c r="D12" s="445"/>
      <c r="E12" s="445"/>
      <c r="F12" s="445"/>
      <c r="G12" s="40"/>
    </row>
    <row r="14" spans="1:7" ht="16.5" customHeight="1" x14ac:dyDescent="0.3">
      <c r="A14" s="450" t="s">
        <v>32</v>
      </c>
      <c r="B14" s="450"/>
      <c r="C14" s="12" t="s">
        <v>5</v>
      </c>
    </row>
    <row r="15" spans="1:7" ht="16.5" customHeight="1" x14ac:dyDescent="0.3">
      <c r="A15" s="450" t="s">
        <v>33</v>
      </c>
      <c r="B15" s="450"/>
      <c r="C15" s="12" t="s">
        <v>7</v>
      </c>
    </row>
    <row r="16" spans="1:7" ht="16.5" customHeight="1" x14ac:dyDescent="0.3">
      <c r="A16" s="450" t="s">
        <v>34</v>
      </c>
      <c r="B16" s="450"/>
      <c r="C16" s="12" t="s">
        <v>9</v>
      </c>
    </row>
    <row r="17" spans="1:5" ht="16.5" customHeight="1" x14ac:dyDescent="0.3">
      <c r="A17" s="450" t="s">
        <v>35</v>
      </c>
      <c r="B17" s="450"/>
      <c r="C17" s="12" t="s">
        <v>11</v>
      </c>
    </row>
    <row r="18" spans="1:5" ht="16.5" customHeight="1" x14ac:dyDescent="0.3">
      <c r="A18" s="450" t="s">
        <v>36</v>
      </c>
      <c r="B18" s="450"/>
      <c r="C18" s="47" t="s">
        <v>12</v>
      </c>
    </row>
    <row r="19" spans="1:5" ht="16.5" customHeight="1" x14ac:dyDescent="0.3">
      <c r="A19" s="450" t="s">
        <v>37</v>
      </c>
      <c r="B19" s="450"/>
      <c r="C19" s="47" t="e">
        <f>#REF!</f>
        <v>#REF!</v>
      </c>
    </row>
    <row r="20" spans="1:5" ht="16.5" customHeight="1" x14ac:dyDescent="0.3">
      <c r="A20" s="14"/>
      <c r="B20" s="14"/>
      <c r="C20" s="27"/>
    </row>
    <row r="21" spans="1:5" ht="16.5" customHeight="1" x14ac:dyDescent="0.3">
      <c r="A21" s="445" t="s">
        <v>1</v>
      </c>
      <c r="B21" s="445"/>
      <c r="C21" s="11" t="s">
        <v>38</v>
      </c>
      <c r="D21" s="18"/>
    </row>
    <row r="22" spans="1:5" ht="15.75" customHeight="1" x14ac:dyDescent="0.3">
      <c r="A22" s="449"/>
      <c r="B22" s="449"/>
      <c r="C22" s="9"/>
      <c r="D22" s="449"/>
      <c r="E22" s="449"/>
    </row>
    <row r="23" spans="1:5" ht="33.75" customHeight="1" x14ac:dyDescent="0.3">
      <c r="C23" s="36" t="s">
        <v>39</v>
      </c>
      <c r="D23" s="35" t="s">
        <v>40</v>
      </c>
      <c r="E23" s="4"/>
    </row>
    <row r="24" spans="1:5" ht="15.75" customHeight="1" x14ac:dyDescent="0.3">
      <c r="C24" s="45">
        <v>1019.24</v>
      </c>
      <c r="D24" s="37">
        <f t="shared" ref="D24:D43" si="0">(C24-$C$46)/$C$46</f>
        <v>4.3579264251949164E-3</v>
      </c>
      <c r="E24" s="5"/>
    </row>
    <row r="25" spans="1:5" ht="15.75" customHeight="1" x14ac:dyDescent="0.3">
      <c r="C25" s="45">
        <v>1020.39</v>
      </c>
      <c r="D25" s="38">
        <f t="shared" si="0"/>
        <v>5.4911351055733863E-3</v>
      </c>
      <c r="E25" s="5"/>
    </row>
    <row r="26" spans="1:5" ht="15.75" customHeight="1" x14ac:dyDescent="0.3">
      <c r="C26" s="45">
        <v>1011.34</v>
      </c>
      <c r="D26" s="38">
        <f t="shared" si="0"/>
        <v>-3.4267245095790494E-3</v>
      </c>
      <c r="E26" s="5"/>
    </row>
    <row r="27" spans="1:5" ht="15.75" customHeight="1" x14ac:dyDescent="0.3">
      <c r="C27" s="45">
        <v>1013.51</v>
      </c>
      <c r="D27" s="38">
        <f t="shared" si="0"/>
        <v>-1.2884089996475006E-3</v>
      </c>
      <c r="E27" s="5"/>
    </row>
    <row r="28" spans="1:5" ht="15.75" customHeight="1" x14ac:dyDescent="0.3">
      <c r="C28" s="45">
        <v>1009.75</v>
      </c>
      <c r="D28" s="38">
        <f t="shared" si="0"/>
        <v>-4.9935086850589087E-3</v>
      </c>
      <c r="E28" s="5"/>
    </row>
    <row r="29" spans="1:5" ht="15.75" customHeight="1" x14ac:dyDescent="0.3">
      <c r="C29" s="45">
        <v>1007.45</v>
      </c>
      <c r="D29" s="38">
        <f t="shared" si="0"/>
        <v>-7.2599260458158484E-3</v>
      </c>
      <c r="E29" s="5"/>
    </row>
    <row r="30" spans="1:5" ht="15.75" customHeight="1" x14ac:dyDescent="0.3">
      <c r="C30" s="45">
        <v>1010.86</v>
      </c>
      <c r="D30" s="38">
        <f t="shared" si="0"/>
        <v>-3.8997159587805248E-3</v>
      </c>
      <c r="E30" s="5"/>
    </row>
    <row r="31" spans="1:5" ht="15.75" customHeight="1" x14ac:dyDescent="0.3">
      <c r="C31" s="45">
        <v>1016.7</v>
      </c>
      <c r="D31" s="38">
        <f t="shared" si="0"/>
        <v>1.8550133398372395E-3</v>
      </c>
      <c r="E31" s="5"/>
    </row>
    <row r="32" spans="1:5" ht="15.75" customHeight="1" x14ac:dyDescent="0.3">
      <c r="C32" s="45">
        <v>1009.87</v>
      </c>
      <c r="D32" s="38">
        <f t="shared" si="0"/>
        <v>-4.8752608227585403E-3</v>
      </c>
      <c r="E32" s="5"/>
    </row>
    <row r="33" spans="1:7" ht="15.75" customHeight="1" x14ac:dyDescent="0.3">
      <c r="C33" s="45">
        <v>1015.42</v>
      </c>
      <c r="D33" s="38">
        <f t="shared" si="0"/>
        <v>5.9370280863326765E-4</v>
      </c>
      <c r="E33" s="5"/>
    </row>
    <row r="34" spans="1:7" ht="15.75" customHeight="1" x14ac:dyDescent="0.3">
      <c r="C34" s="45">
        <v>1019.91</v>
      </c>
      <c r="D34" s="38">
        <f t="shared" si="0"/>
        <v>5.0181436563719109E-3</v>
      </c>
      <c r="E34" s="5"/>
    </row>
    <row r="35" spans="1:7" ht="15.75" customHeight="1" x14ac:dyDescent="0.3">
      <c r="C35" s="45">
        <v>1018.54</v>
      </c>
      <c r="D35" s="38">
        <f t="shared" si="0"/>
        <v>3.6681472284427461E-3</v>
      </c>
      <c r="E35" s="5"/>
    </row>
    <row r="36" spans="1:7" ht="15.75" customHeight="1" x14ac:dyDescent="0.3">
      <c r="C36" s="45">
        <v>1017.8</v>
      </c>
      <c r="D36" s="38">
        <f t="shared" si="0"/>
        <v>2.9389520775904899E-3</v>
      </c>
      <c r="E36" s="5"/>
    </row>
    <row r="37" spans="1:7" ht="15.75" customHeight="1" x14ac:dyDescent="0.3">
      <c r="C37" s="45">
        <v>1018.27</v>
      </c>
      <c r="D37" s="38">
        <f t="shared" si="0"/>
        <v>3.4020895382669441E-3</v>
      </c>
      <c r="E37" s="5"/>
    </row>
    <row r="38" spans="1:7" ht="15.75" customHeight="1" x14ac:dyDescent="0.3">
      <c r="C38" s="45">
        <v>1002.71</v>
      </c>
      <c r="D38" s="38">
        <f t="shared" si="0"/>
        <v>-1.193071660668025E-2</v>
      </c>
      <c r="E38" s="5"/>
    </row>
    <row r="39" spans="1:7" ht="15.75" customHeight="1" x14ac:dyDescent="0.3">
      <c r="C39" s="45">
        <v>1023.05</v>
      </c>
      <c r="D39" s="38">
        <f t="shared" si="0"/>
        <v>8.1122960532314312E-3</v>
      </c>
      <c r="E39" s="5"/>
    </row>
    <row r="40" spans="1:7" ht="15.75" customHeight="1" x14ac:dyDescent="0.3">
      <c r="C40" s="45">
        <v>1013.03</v>
      </c>
      <c r="D40" s="38">
        <f t="shared" si="0"/>
        <v>-1.761400448848976E-3</v>
      </c>
      <c r="E40" s="5"/>
    </row>
    <row r="41" spans="1:7" ht="15.75" customHeight="1" x14ac:dyDescent="0.3">
      <c r="C41" s="45">
        <v>1021.48</v>
      </c>
      <c r="D41" s="38">
        <f t="shared" si="0"/>
        <v>6.5652198548017274E-3</v>
      </c>
      <c r="E41" s="5"/>
    </row>
    <row r="42" spans="1:7" ht="15.75" customHeight="1" x14ac:dyDescent="0.3">
      <c r="C42" s="45">
        <v>1011.21</v>
      </c>
      <c r="D42" s="38">
        <f t="shared" si="0"/>
        <v>-3.5548263604044399E-3</v>
      </c>
      <c r="E42" s="5"/>
    </row>
    <row r="43" spans="1:7" ht="16.5" customHeight="1" x14ac:dyDescent="0.3">
      <c r="C43" s="46">
        <v>1015.82</v>
      </c>
      <c r="D43" s="39">
        <f t="shared" si="0"/>
        <v>9.8786234963457189E-4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2" t="s">
        <v>41</v>
      </c>
      <c r="C45" s="33">
        <f>SUM(C24:C44)</f>
        <v>20296.349999999995</v>
      </c>
      <c r="D45" s="28"/>
      <c r="E45" s="6"/>
    </row>
    <row r="46" spans="1:7" ht="17.25" customHeight="1" x14ac:dyDescent="0.3">
      <c r="B46" s="32" t="s">
        <v>42</v>
      </c>
      <c r="C46" s="34">
        <f>AVERAGE(C24:C44)</f>
        <v>1014.8174999999998</v>
      </c>
      <c r="E46" s="8"/>
    </row>
    <row r="47" spans="1:7" ht="17.25" customHeight="1" x14ac:dyDescent="0.3">
      <c r="A47" s="12"/>
      <c r="B47" s="29"/>
      <c r="D47" s="10"/>
      <c r="E47" s="8"/>
    </row>
    <row r="48" spans="1:7" ht="33.75" customHeight="1" x14ac:dyDescent="0.3">
      <c r="B48" s="42" t="s">
        <v>42</v>
      </c>
      <c r="C48" s="35" t="s">
        <v>43</v>
      </c>
      <c r="D48" s="30"/>
      <c r="G48" s="10"/>
    </row>
    <row r="49" spans="1:6" ht="17.25" customHeight="1" x14ac:dyDescent="0.3">
      <c r="B49" s="443">
        <f>C46</f>
        <v>1014.8174999999998</v>
      </c>
      <c r="C49" s="43">
        <f>-IF(C46&lt;=80,10%,IF(C46&lt;250,7.5%,5%))</f>
        <v>-0.05</v>
      </c>
      <c r="D49" s="31">
        <f>IF(C46&lt;=80,C46*0.9,IF(C46&lt;250,C46*0.925,C46*0.95))</f>
        <v>964.07662499999969</v>
      </c>
    </row>
    <row r="50" spans="1:6" ht="17.25" customHeight="1" x14ac:dyDescent="0.3">
      <c r="B50" s="444"/>
      <c r="C50" s="44">
        <f>IF(C46&lt;=80, 10%, IF(C46&lt;250, 7.5%, 5%))</f>
        <v>0.05</v>
      </c>
      <c r="D50" s="31">
        <f>IF(C46&lt;=80, C46*1.1, IF(C46&lt;250, C46*1.075, C46*1.05))</f>
        <v>1065.5583749999998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25</v>
      </c>
      <c r="C52" s="19"/>
      <c r="D52" s="20" t="s">
        <v>26</v>
      </c>
      <c r="E52" s="21"/>
      <c r="F52" s="20" t="s">
        <v>27</v>
      </c>
    </row>
    <row r="53" spans="1:6" ht="34.5" customHeight="1" x14ac:dyDescent="0.3">
      <c r="A53" s="22" t="s">
        <v>28</v>
      </c>
      <c r="B53" s="23"/>
      <c r="C53" s="24"/>
      <c r="D53" s="23"/>
      <c r="E53" s="13"/>
      <c r="F53" s="25"/>
    </row>
    <row r="54" spans="1:6" ht="34.5" customHeight="1" x14ac:dyDescent="0.3">
      <c r="A54" s="22" t="s">
        <v>29</v>
      </c>
      <c r="B54" s="438" t="s">
        <v>131</v>
      </c>
      <c r="C54" s="234"/>
      <c r="D54" s="526">
        <v>42412</v>
      </c>
      <c r="E54" s="13"/>
      <c r="F54" s="2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4" zoomScale="55" zoomScaleNormal="40" zoomScalePageLayoutView="55" workbookViewId="0">
      <selection activeCell="C124" sqref="C124:E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9" t="s">
        <v>44</v>
      </c>
      <c r="B1" s="479"/>
      <c r="C1" s="479"/>
      <c r="D1" s="479"/>
      <c r="E1" s="479"/>
      <c r="F1" s="479"/>
      <c r="G1" s="479"/>
      <c r="H1" s="479"/>
      <c r="I1" s="479"/>
    </row>
    <row r="2" spans="1:9" ht="18.75" customHeight="1" x14ac:dyDescent="0.25">
      <c r="A2" s="479"/>
      <c r="B2" s="479"/>
      <c r="C2" s="479"/>
      <c r="D2" s="479"/>
      <c r="E2" s="479"/>
      <c r="F2" s="479"/>
      <c r="G2" s="479"/>
      <c r="H2" s="479"/>
      <c r="I2" s="479"/>
    </row>
    <row r="3" spans="1:9" ht="18.75" customHeight="1" x14ac:dyDescent="0.25">
      <c r="A3" s="479"/>
      <c r="B3" s="479"/>
      <c r="C3" s="479"/>
      <c r="D3" s="479"/>
      <c r="E3" s="479"/>
      <c r="F3" s="479"/>
      <c r="G3" s="479"/>
      <c r="H3" s="479"/>
      <c r="I3" s="479"/>
    </row>
    <row r="4" spans="1:9" ht="18.75" customHeight="1" x14ac:dyDescent="0.25">
      <c r="A4" s="479"/>
      <c r="B4" s="479"/>
      <c r="C4" s="479"/>
      <c r="D4" s="479"/>
      <c r="E4" s="479"/>
      <c r="F4" s="479"/>
      <c r="G4" s="479"/>
      <c r="H4" s="479"/>
      <c r="I4" s="479"/>
    </row>
    <row r="5" spans="1:9" ht="18.75" customHeight="1" x14ac:dyDescent="0.25">
      <c r="A5" s="479"/>
      <c r="B5" s="479"/>
      <c r="C5" s="479"/>
      <c r="D5" s="479"/>
      <c r="E5" s="479"/>
      <c r="F5" s="479"/>
      <c r="G5" s="479"/>
      <c r="H5" s="479"/>
      <c r="I5" s="479"/>
    </row>
    <row r="6" spans="1:9" ht="18.75" customHeight="1" x14ac:dyDescent="0.25">
      <c r="A6" s="479"/>
      <c r="B6" s="479"/>
      <c r="C6" s="479"/>
      <c r="D6" s="479"/>
      <c r="E6" s="479"/>
      <c r="F6" s="479"/>
      <c r="G6" s="479"/>
      <c r="H6" s="479"/>
      <c r="I6" s="479"/>
    </row>
    <row r="7" spans="1:9" ht="18.75" customHeight="1" x14ac:dyDescent="0.25">
      <c r="A7" s="479"/>
      <c r="B7" s="479"/>
      <c r="C7" s="479"/>
      <c r="D7" s="479"/>
      <c r="E7" s="479"/>
      <c r="F7" s="479"/>
      <c r="G7" s="479"/>
      <c r="H7" s="479"/>
      <c r="I7" s="479"/>
    </row>
    <row r="8" spans="1:9" x14ac:dyDescent="0.25">
      <c r="A8" s="480" t="s">
        <v>45</v>
      </c>
      <c r="B8" s="480"/>
      <c r="C8" s="480"/>
      <c r="D8" s="480"/>
      <c r="E8" s="480"/>
      <c r="F8" s="480"/>
      <c r="G8" s="480"/>
      <c r="H8" s="480"/>
      <c r="I8" s="480"/>
    </row>
    <row r="9" spans="1:9" x14ac:dyDescent="0.25">
      <c r="A9" s="480"/>
      <c r="B9" s="480"/>
      <c r="C9" s="480"/>
      <c r="D9" s="480"/>
      <c r="E9" s="480"/>
      <c r="F9" s="480"/>
      <c r="G9" s="480"/>
      <c r="H9" s="480"/>
      <c r="I9" s="480"/>
    </row>
    <row r="10" spans="1:9" x14ac:dyDescent="0.25">
      <c r="A10" s="480"/>
      <c r="B10" s="480"/>
      <c r="C10" s="480"/>
      <c r="D10" s="480"/>
      <c r="E10" s="480"/>
      <c r="F10" s="480"/>
      <c r="G10" s="480"/>
      <c r="H10" s="480"/>
      <c r="I10" s="480"/>
    </row>
    <row r="11" spans="1:9" x14ac:dyDescent="0.25">
      <c r="A11" s="480"/>
      <c r="B11" s="480"/>
      <c r="C11" s="480"/>
      <c r="D11" s="480"/>
      <c r="E11" s="480"/>
      <c r="F11" s="480"/>
      <c r="G11" s="480"/>
      <c r="H11" s="480"/>
      <c r="I11" s="480"/>
    </row>
    <row r="12" spans="1:9" x14ac:dyDescent="0.25">
      <c r="A12" s="480"/>
      <c r="B12" s="480"/>
      <c r="C12" s="480"/>
      <c r="D12" s="480"/>
      <c r="E12" s="480"/>
      <c r="F12" s="480"/>
      <c r="G12" s="480"/>
      <c r="H12" s="480"/>
      <c r="I12" s="480"/>
    </row>
    <row r="13" spans="1:9" x14ac:dyDescent="0.25">
      <c r="A13" s="480"/>
      <c r="B13" s="480"/>
      <c r="C13" s="480"/>
      <c r="D13" s="480"/>
      <c r="E13" s="480"/>
      <c r="F13" s="480"/>
      <c r="G13" s="480"/>
      <c r="H13" s="480"/>
      <c r="I13" s="480"/>
    </row>
    <row r="14" spans="1:9" x14ac:dyDescent="0.25">
      <c r="A14" s="480"/>
      <c r="B14" s="480"/>
      <c r="C14" s="480"/>
      <c r="D14" s="480"/>
      <c r="E14" s="480"/>
      <c r="F14" s="480"/>
      <c r="G14" s="480"/>
      <c r="H14" s="480"/>
      <c r="I14" s="480"/>
    </row>
    <row r="15" spans="1:9" ht="19.5" customHeight="1" x14ac:dyDescent="0.3">
      <c r="A15" s="48"/>
    </row>
    <row r="16" spans="1:9" ht="19.5" customHeight="1" x14ac:dyDescent="0.3">
      <c r="A16" s="452" t="s">
        <v>30</v>
      </c>
      <c r="B16" s="453"/>
      <c r="C16" s="453"/>
      <c r="D16" s="453"/>
      <c r="E16" s="453"/>
      <c r="F16" s="453"/>
      <c r="G16" s="453"/>
      <c r="H16" s="454"/>
    </row>
    <row r="17" spans="1:14" ht="20.25" customHeight="1" x14ac:dyDescent="0.25">
      <c r="A17" s="455" t="s">
        <v>46</v>
      </c>
      <c r="B17" s="455"/>
      <c r="C17" s="455"/>
      <c r="D17" s="455"/>
      <c r="E17" s="455"/>
      <c r="F17" s="455"/>
      <c r="G17" s="455"/>
      <c r="H17" s="455"/>
    </row>
    <row r="18" spans="1:14" ht="26.25" customHeight="1" x14ac:dyDescent="0.4">
      <c r="A18" s="50" t="s">
        <v>32</v>
      </c>
      <c r="B18" s="451" t="s">
        <v>5</v>
      </c>
      <c r="C18" s="451"/>
      <c r="D18" s="217"/>
      <c r="E18" s="51"/>
      <c r="F18" s="52"/>
      <c r="G18" s="52"/>
      <c r="H18" s="52"/>
    </row>
    <row r="19" spans="1:14" ht="26.25" customHeight="1" x14ac:dyDescent="0.4">
      <c r="A19" s="50" t="s">
        <v>33</v>
      </c>
      <c r="B19" s="53" t="s">
        <v>7</v>
      </c>
      <c r="C19" s="230">
        <v>29</v>
      </c>
      <c r="D19" s="52"/>
      <c r="E19" s="52"/>
      <c r="F19" s="52"/>
      <c r="G19" s="52"/>
      <c r="H19" s="52"/>
    </row>
    <row r="20" spans="1:14" ht="26.25" customHeight="1" x14ac:dyDescent="0.4">
      <c r="A20" s="50" t="s">
        <v>34</v>
      </c>
      <c r="B20" s="456" t="s">
        <v>9</v>
      </c>
      <c r="C20" s="456"/>
      <c r="D20" s="52"/>
      <c r="E20" s="52"/>
      <c r="F20" s="52"/>
      <c r="G20" s="52"/>
      <c r="H20" s="52"/>
    </row>
    <row r="21" spans="1:14" ht="26.25" customHeight="1" x14ac:dyDescent="0.4">
      <c r="A21" s="50" t="s">
        <v>35</v>
      </c>
      <c r="B21" s="456" t="s">
        <v>11</v>
      </c>
      <c r="C21" s="456"/>
      <c r="D21" s="456"/>
      <c r="E21" s="456"/>
      <c r="F21" s="456"/>
      <c r="G21" s="456"/>
      <c r="H21" s="456"/>
      <c r="I21" s="54"/>
    </row>
    <row r="22" spans="1:14" ht="26.25" customHeight="1" x14ac:dyDescent="0.4">
      <c r="A22" s="50" t="s">
        <v>36</v>
      </c>
      <c r="B22" s="55" t="s">
        <v>12</v>
      </c>
      <c r="C22" s="52"/>
      <c r="D22" s="52"/>
      <c r="E22" s="52"/>
      <c r="F22" s="52"/>
      <c r="G22" s="52"/>
      <c r="H22" s="52"/>
    </row>
    <row r="23" spans="1:14" ht="26.25" customHeight="1" x14ac:dyDescent="0.4">
      <c r="A23" s="50" t="s">
        <v>37</v>
      </c>
      <c r="B23" s="55"/>
      <c r="C23" s="52"/>
      <c r="D23" s="52"/>
      <c r="E23" s="52"/>
      <c r="F23" s="52"/>
      <c r="G23" s="52"/>
      <c r="H23" s="52"/>
    </row>
    <row r="24" spans="1:14" ht="18.75" x14ac:dyDescent="0.3">
      <c r="A24" s="50"/>
      <c r="B24" s="56"/>
    </row>
    <row r="25" spans="1:14" ht="18.75" x14ac:dyDescent="0.3">
      <c r="A25" s="57" t="s">
        <v>1</v>
      </c>
      <c r="B25" s="56"/>
    </row>
    <row r="26" spans="1:14" ht="26.25" customHeight="1" x14ac:dyDescent="0.4">
      <c r="A26" s="58" t="s">
        <v>4</v>
      </c>
      <c r="B26" s="451" t="s">
        <v>129</v>
      </c>
      <c r="C26" s="451"/>
    </row>
    <row r="27" spans="1:14" ht="26.25" customHeight="1" x14ac:dyDescent="0.4">
      <c r="A27" s="59" t="s">
        <v>47</v>
      </c>
      <c r="B27" s="457" t="s">
        <v>130</v>
      </c>
      <c r="C27" s="457"/>
    </row>
    <row r="28" spans="1:14" ht="27" customHeight="1" x14ac:dyDescent="0.4">
      <c r="A28" s="59" t="s">
        <v>6</v>
      </c>
      <c r="B28" s="60">
        <v>98.57</v>
      </c>
    </row>
    <row r="29" spans="1:14" s="3" customFormat="1" ht="27" customHeight="1" x14ac:dyDescent="0.4">
      <c r="A29" s="59" t="s">
        <v>48</v>
      </c>
      <c r="B29" s="61">
        <v>0</v>
      </c>
      <c r="C29" s="458" t="s">
        <v>49</v>
      </c>
      <c r="D29" s="459"/>
      <c r="E29" s="459"/>
      <c r="F29" s="459"/>
      <c r="G29" s="460"/>
      <c r="I29" s="62"/>
      <c r="J29" s="62"/>
      <c r="K29" s="62"/>
      <c r="L29" s="62"/>
    </row>
    <row r="30" spans="1:14" s="3" customFormat="1" ht="19.5" customHeight="1" x14ac:dyDescent="0.3">
      <c r="A30" s="59" t="s">
        <v>50</v>
      </c>
      <c r="B30" s="63">
        <f>B28-B29</f>
        <v>98.57</v>
      </c>
      <c r="C30" s="64"/>
      <c r="D30" s="64"/>
      <c r="E30" s="64"/>
      <c r="F30" s="64"/>
      <c r="G30" s="65"/>
      <c r="I30" s="62"/>
      <c r="J30" s="62"/>
      <c r="K30" s="62"/>
      <c r="L30" s="62"/>
    </row>
    <row r="31" spans="1:14" s="3" customFormat="1" ht="27" customHeight="1" x14ac:dyDescent="0.4">
      <c r="A31" s="59" t="s">
        <v>51</v>
      </c>
      <c r="B31" s="66">
        <v>1</v>
      </c>
      <c r="C31" s="461" t="s">
        <v>52</v>
      </c>
      <c r="D31" s="462"/>
      <c r="E31" s="462"/>
      <c r="F31" s="462"/>
      <c r="G31" s="462"/>
      <c r="H31" s="463"/>
      <c r="I31" s="62"/>
      <c r="J31" s="62"/>
      <c r="K31" s="62"/>
      <c r="L31" s="62"/>
    </row>
    <row r="32" spans="1:14" s="3" customFormat="1" ht="27" customHeight="1" x14ac:dyDescent="0.4">
      <c r="A32" s="59" t="s">
        <v>53</v>
      </c>
      <c r="B32" s="66">
        <v>1</v>
      </c>
      <c r="C32" s="461" t="s">
        <v>54</v>
      </c>
      <c r="D32" s="462"/>
      <c r="E32" s="462"/>
      <c r="F32" s="462"/>
      <c r="G32" s="462"/>
      <c r="H32" s="463"/>
      <c r="I32" s="62"/>
      <c r="J32" s="62"/>
      <c r="K32" s="62"/>
      <c r="L32" s="67"/>
      <c r="M32" s="67"/>
      <c r="N32" s="68"/>
    </row>
    <row r="33" spans="1:14" s="3" customFormat="1" ht="17.25" customHeight="1" x14ac:dyDescent="0.3">
      <c r="A33" s="59"/>
      <c r="B33" s="69"/>
      <c r="C33" s="70"/>
      <c r="D33" s="70"/>
      <c r="E33" s="70"/>
      <c r="F33" s="70"/>
      <c r="G33" s="70"/>
      <c r="H33" s="70"/>
      <c r="I33" s="62"/>
      <c r="J33" s="62"/>
      <c r="K33" s="62"/>
      <c r="L33" s="67"/>
      <c r="M33" s="67"/>
      <c r="N33" s="68"/>
    </row>
    <row r="34" spans="1:14" s="3" customFormat="1" ht="18.75" x14ac:dyDescent="0.3">
      <c r="A34" s="59" t="s">
        <v>55</v>
      </c>
      <c r="B34" s="71">
        <f>B31/B32</f>
        <v>1</v>
      </c>
      <c r="C34" s="49" t="s">
        <v>56</v>
      </c>
      <c r="D34" s="49"/>
      <c r="E34" s="49"/>
      <c r="F34" s="49"/>
      <c r="G34" s="49"/>
      <c r="I34" s="62"/>
      <c r="J34" s="62"/>
      <c r="K34" s="62"/>
      <c r="L34" s="67"/>
      <c r="M34" s="67"/>
      <c r="N34" s="68"/>
    </row>
    <row r="35" spans="1:14" s="3" customFormat="1" ht="19.5" customHeight="1" x14ac:dyDescent="0.3">
      <c r="A35" s="59"/>
      <c r="B35" s="63"/>
      <c r="G35" s="49"/>
      <c r="I35" s="62"/>
      <c r="J35" s="62"/>
      <c r="K35" s="62"/>
      <c r="L35" s="67"/>
      <c r="M35" s="67"/>
      <c r="N35" s="68"/>
    </row>
    <row r="36" spans="1:14" s="3" customFormat="1" ht="27" customHeight="1" x14ac:dyDescent="0.4">
      <c r="A36" s="72" t="s">
        <v>57</v>
      </c>
      <c r="B36" s="73">
        <v>50</v>
      </c>
      <c r="C36" s="49"/>
      <c r="D36" s="464" t="s">
        <v>58</v>
      </c>
      <c r="E36" s="465"/>
      <c r="F36" s="464" t="s">
        <v>59</v>
      </c>
      <c r="G36" s="466"/>
      <c r="J36" s="62"/>
      <c r="K36" s="62"/>
      <c r="L36" s="67"/>
      <c r="M36" s="67"/>
      <c r="N36" s="68"/>
    </row>
    <row r="37" spans="1:14" s="3" customFormat="1" ht="27" customHeight="1" x14ac:dyDescent="0.4">
      <c r="A37" s="74" t="s">
        <v>60</v>
      </c>
      <c r="B37" s="75">
        <v>5</v>
      </c>
      <c r="C37" s="76" t="s">
        <v>61</v>
      </c>
      <c r="D37" s="77" t="s">
        <v>62</v>
      </c>
      <c r="E37" s="78" t="s">
        <v>63</v>
      </c>
      <c r="F37" s="77" t="s">
        <v>62</v>
      </c>
      <c r="G37" s="79" t="s">
        <v>63</v>
      </c>
      <c r="I37" s="80" t="s">
        <v>64</v>
      </c>
      <c r="J37" s="62"/>
      <c r="K37" s="62"/>
      <c r="L37" s="67"/>
      <c r="M37" s="67"/>
      <c r="N37" s="68"/>
    </row>
    <row r="38" spans="1:14" s="3" customFormat="1" ht="26.25" customHeight="1" x14ac:dyDescent="0.4">
      <c r="A38" s="74" t="s">
        <v>65</v>
      </c>
      <c r="B38" s="75">
        <v>50</v>
      </c>
      <c r="C38" s="81">
        <v>1</v>
      </c>
      <c r="D38" s="82">
        <v>76711767</v>
      </c>
      <c r="E38" s="83">
        <f>IF(ISBLANK(D38),"-",$D$48/$D$45*D38)</f>
        <v>74331098.025547549</v>
      </c>
      <c r="F38" s="82">
        <v>70987565</v>
      </c>
      <c r="G38" s="84">
        <f>IF(ISBLANK(F38),"-",$D$48/$F$45*F38)</f>
        <v>74283046.952545702</v>
      </c>
      <c r="I38" s="85"/>
      <c r="J38" s="62"/>
      <c r="K38" s="62"/>
      <c r="L38" s="67"/>
      <c r="M38" s="67"/>
      <c r="N38" s="68"/>
    </row>
    <row r="39" spans="1:14" s="3" customFormat="1" ht="26.25" customHeight="1" x14ac:dyDescent="0.4">
      <c r="A39" s="74" t="s">
        <v>66</v>
      </c>
      <c r="B39" s="75">
        <v>1</v>
      </c>
      <c r="C39" s="86">
        <v>2</v>
      </c>
      <c r="D39" s="87">
        <v>76761347</v>
      </c>
      <c r="E39" s="88">
        <f>IF(ISBLANK(D39),"-",$D$48/$D$45*D39)</f>
        <v>74379139.362414509</v>
      </c>
      <c r="F39" s="87">
        <v>71033929</v>
      </c>
      <c r="G39" s="89">
        <f>IF(ISBLANK(F39),"-",$D$48/$F$45*F39)</f>
        <v>74331563.325644404</v>
      </c>
      <c r="I39" s="468">
        <f>ABS((F43/D43*D42)-F42)/D42</f>
        <v>3.7933708959106866E-4</v>
      </c>
      <c r="J39" s="62"/>
      <c r="K39" s="62"/>
      <c r="L39" s="67"/>
      <c r="M39" s="67"/>
      <c r="N39" s="68"/>
    </row>
    <row r="40" spans="1:14" ht="26.25" customHeight="1" x14ac:dyDescent="0.4">
      <c r="A40" s="74" t="s">
        <v>67</v>
      </c>
      <c r="B40" s="75">
        <v>1</v>
      </c>
      <c r="C40" s="86">
        <v>3</v>
      </c>
      <c r="D40" s="87">
        <v>76682579</v>
      </c>
      <c r="E40" s="88">
        <f>IF(ISBLANK(D40),"-",$D$48/$D$45*D40)</f>
        <v>74302815.844416603</v>
      </c>
      <c r="F40" s="87">
        <v>71010535</v>
      </c>
      <c r="G40" s="89">
        <f>IF(ISBLANK(F40),"-",$D$48/$F$45*F40)</f>
        <v>74307083.297340736</v>
      </c>
      <c r="I40" s="468"/>
      <c r="L40" s="67"/>
      <c r="M40" s="67"/>
      <c r="N40" s="90"/>
    </row>
    <row r="41" spans="1:14" ht="27" customHeight="1" x14ac:dyDescent="0.4">
      <c r="A41" s="74" t="s">
        <v>68</v>
      </c>
      <c r="B41" s="75">
        <v>1</v>
      </c>
      <c r="C41" s="91">
        <v>4</v>
      </c>
      <c r="D41" s="92"/>
      <c r="E41" s="93" t="str">
        <f>IF(ISBLANK(D41),"-",$D$48/$D$45*D41)</f>
        <v>-</v>
      </c>
      <c r="F41" s="92"/>
      <c r="G41" s="94" t="str">
        <f>IF(ISBLANK(F41),"-",$D$48/$F$45*F41)</f>
        <v>-</v>
      </c>
      <c r="I41" s="95"/>
      <c r="L41" s="67"/>
      <c r="M41" s="67"/>
      <c r="N41" s="90"/>
    </row>
    <row r="42" spans="1:14" ht="27" customHeight="1" x14ac:dyDescent="0.4">
      <c r="A42" s="74" t="s">
        <v>69</v>
      </c>
      <c r="B42" s="75">
        <v>1</v>
      </c>
      <c r="C42" s="96" t="s">
        <v>70</v>
      </c>
      <c r="D42" s="97">
        <f>AVERAGE(D38:D41)</f>
        <v>76718564.333333328</v>
      </c>
      <c r="E42" s="98">
        <f>AVERAGE(E38:E41)</f>
        <v>74337684.410792887</v>
      </c>
      <c r="F42" s="97">
        <f>AVERAGE(F38:F41)</f>
        <v>71010676.333333328</v>
      </c>
      <c r="G42" s="99">
        <f>AVERAGE(G38:G41)</f>
        <v>74307231.191843614</v>
      </c>
      <c r="H42" s="100"/>
    </row>
    <row r="43" spans="1:14" ht="26.25" customHeight="1" x14ac:dyDescent="0.4">
      <c r="A43" s="74" t="s">
        <v>71</v>
      </c>
      <c r="B43" s="75">
        <v>1</v>
      </c>
      <c r="C43" s="101" t="s">
        <v>72</v>
      </c>
      <c r="D43" s="102">
        <v>20.94</v>
      </c>
      <c r="E43" s="90"/>
      <c r="F43" s="102">
        <v>19.39</v>
      </c>
      <c r="H43" s="100"/>
    </row>
    <row r="44" spans="1:14" ht="26.25" customHeight="1" x14ac:dyDescent="0.4">
      <c r="A44" s="74" t="s">
        <v>73</v>
      </c>
      <c r="B44" s="75">
        <v>1</v>
      </c>
      <c r="C44" s="103" t="s">
        <v>74</v>
      </c>
      <c r="D44" s="104">
        <f>D43*$B$34</f>
        <v>20.94</v>
      </c>
      <c r="E44" s="105"/>
      <c r="F44" s="104">
        <f>F43*$B$34</f>
        <v>19.39</v>
      </c>
      <c r="H44" s="100"/>
    </row>
    <row r="45" spans="1:14" ht="19.5" customHeight="1" x14ac:dyDescent="0.3">
      <c r="A45" s="74" t="s">
        <v>75</v>
      </c>
      <c r="B45" s="106">
        <f>(B44/B43)*(B42/B41)*(B40/B39)*(B38/B37)*B36</f>
        <v>500</v>
      </c>
      <c r="C45" s="103" t="s">
        <v>76</v>
      </c>
      <c r="D45" s="107">
        <f>D44*$B$30/100</f>
        <v>20.640558000000002</v>
      </c>
      <c r="E45" s="108"/>
      <c r="F45" s="107">
        <f>F44*$B$30/100</f>
        <v>19.112722999999999</v>
      </c>
      <c r="H45" s="100"/>
    </row>
    <row r="46" spans="1:14" ht="19.5" customHeight="1" x14ac:dyDescent="0.3">
      <c r="A46" s="469" t="s">
        <v>77</v>
      </c>
      <c r="B46" s="470"/>
      <c r="C46" s="103" t="s">
        <v>78</v>
      </c>
      <c r="D46" s="109">
        <f>D45/$B$45</f>
        <v>4.1281116000000007E-2</v>
      </c>
      <c r="E46" s="110"/>
      <c r="F46" s="111">
        <f>F45/$B$45</f>
        <v>3.8225445999999996E-2</v>
      </c>
      <c r="H46" s="100"/>
    </row>
    <row r="47" spans="1:14" ht="27" customHeight="1" x14ac:dyDescent="0.4">
      <c r="A47" s="471"/>
      <c r="B47" s="472"/>
      <c r="C47" s="112" t="s">
        <v>79</v>
      </c>
      <c r="D47" s="113">
        <v>0.04</v>
      </c>
      <c r="E47" s="114"/>
      <c r="F47" s="110"/>
      <c r="H47" s="100"/>
    </row>
    <row r="48" spans="1:14" ht="18.75" x14ac:dyDescent="0.3">
      <c r="C48" s="115" t="s">
        <v>80</v>
      </c>
      <c r="D48" s="107">
        <f>D47*$B$45</f>
        <v>20</v>
      </c>
      <c r="F48" s="116"/>
      <c r="H48" s="100"/>
    </row>
    <row r="49" spans="1:12" ht="19.5" customHeight="1" x14ac:dyDescent="0.3">
      <c r="C49" s="117" t="s">
        <v>81</v>
      </c>
      <c r="D49" s="118">
        <f>D48/B34</f>
        <v>20</v>
      </c>
      <c r="F49" s="116"/>
      <c r="H49" s="100"/>
    </row>
    <row r="50" spans="1:12" ht="18.75" x14ac:dyDescent="0.3">
      <c r="C50" s="72" t="s">
        <v>82</v>
      </c>
      <c r="D50" s="119">
        <f>AVERAGE(E38:E41,G38:G41)</f>
        <v>74322457.801318243</v>
      </c>
      <c r="F50" s="120"/>
      <c r="H50" s="100"/>
    </row>
    <row r="51" spans="1:12" ht="18.75" x14ac:dyDescent="0.3">
      <c r="C51" s="74" t="s">
        <v>83</v>
      </c>
      <c r="D51" s="121">
        <f>STDEV(E38:E41,G38:G41)/D50</f>
        <v>4.4810055358447025E-4</v>
      </c>
      <c r="F51" s="120"/>
      <c r="H51" s="100"/>
    </row>
    <row r="52" spans="1:12" ht="19.5" customHeight="1" x14ac:dyDescent="0.3">
      <c r="C52" s="122" t="s">
        <v>20</v>
      </c>
      <c r="D52" s="123">
        <f>COUNT(E38:E41,G38:G41)</f>
        <v>6</v>
      </c>
      <c r="F52" s="120"/>
    </row>
    <row r="54" spans="1:12" ht="18.75" x14ac:dyDescent="0.3">
      <c r="A54" s="124" t="s">
        <v>1</v>
      </c>
      <c r="B54" s="125" t="s">
        <v>84</v>
      </c>
    </row>
    <row r="55" spans="1:12" ht="18.75" x14ac:dyDescent="0.3">
      <c r="A55" s="49" t="s">
        <v>85</v>
      </c>
      <c r="B55" s="126" t="str">
        <f>B21</f>
        <v>Each film coated tablet contains:
Ofloxacin USP 200 mg
Ornidazole 500 mg</v>
      </c>
    </row>
    <row r="56" spans="1:12" ht="26.25" customHeight="1" x14ac:dyDescent="0.4">
      <c r="A56" s="127" t="s">
        <v>86</v>
      </c>
      <c r="B56" s="128">
        <v>200</v>
      </c>
      <c r="C56" s="49" t="str">
        <f>B20</f>
        <v>Ofloxacin
Ornidazole</v>
      </c>
      <c r="H56" s="129"/>
    </row>
    <row r="57" spans="1:12" ht="18.75" x14ac:dyDescent="0.3">
      <c r="A57" s="126" t="s">
        <v>87</v>
      </c>
      <c r="B57" s="218">
        <f>Uniformity!C46</f>
        <v>1014.8174999999998</v>
      </c>
      <c r="H57" s="129"/>
    </row>
    <row r="58" spans="1:12" ht="19.5" customHeight="1" x14ac:dyDescent="0.3">
      <c r="H58" s="129"/>
    </row>
    <row r="59" spans="1:12" s="3" customFormat="1" ht="27" customHeight="1" x14ac:dyDescent="0.4">
      <c r="A59" s="72" t="s">
        <v>88</v>
      </c>
      <c r="B59" s="73">
        <v>200</v>
      </c>
      <c r="C59" s="49"/>
      <c r="D59" s="130" t="s">
        <v>89</v>
      </c>
      <c r="E59" s="131" t="s">
        <v>61</v>
      </c>
      <c r="F59" s="131" t="s">
        <v>62</v>
      </c>
      <c r="G59" s="131" t="s">
        <v>90</v>
      </c>
      <c r="H59" s="76" t="s">
        <v>91</v>
      </c>
      <c r="L59" s="62"/>
    </row>
    <row r="60" spans="1:12" s="3" customFormat="1" ht="26.25" customHeight="1" x14ac:dyDescent="0.4">
      <c r="A60" s="74" t="s">
        <v>92</v>
      </c>
      <c r="B60" s="75">
        <v>4</v>
      </c>
      <c r="C60" s="473" t="s">
        <v>93</v>
      </c>
      <c r="D60" s="476">
        <v>523.92999999999995</v>
      </c>
      <c r="E60" s="132">
        <v>1</v>
      </c>
      <c r="F60" s="133">
        <v>38266952</v>
      </c>
      <c r="G60" s="219">
        <f>IF(ISBLANK(F60),"-",(F60/$D$50*$D$47*$B$68)*($B$57/$D$60))</f>
        <v>199.45663383573796</v>
      </c>
      <c r="H60" s="134">
        <f t="shared" ref="H60:H71" si="0">IF(ISBLANK(F60),"-",G60/$B$56)</f>
        <v>0.99728316917868975</v>
      </c>
      <c r="L60" s="62"/>
    </row>
    <row r="61" spans="1:12" s="3" customFormat="1" ht="26.25" customHeight="1" x14ac:dyDescent="0.4">
      <c r="A61" s="74" t="s">
        <v>94</v>
      </c>
      <c r="B61" s="75">
        <v>100</v>
      </c>
      <c r="C61" s="474"/>
      <c r="D61" s="477"/>
      <c r="E61" s="135">
        <v>2</v>
      </c>
      <c r="F61" s="87">
        <v>38265478</v>
      </c>
      <c r="G61" s="220">
        <f>IF(ISBLANK(F61),"-",(F61/$D$50*$D$47*$B$68)*($B$57/$D$60))</f>
        <v>199.44895099028236</v>
      </c>
      <c r="H61" s="136">
        <f t="shared" si="0"/>
        <v>0.99724475495141174</v>
      </c>
      <c r="L61" s="62"/>
    </row>
    <row r="62" spans="1:12" s="3" customFormat="1" ht="26.25" customHeight="1" x14ac:dyDescent="0.4">
      <c r="A62" s="74" t="s">
        <v>95</v>
      </c>
      <c r="B62" s="75">
        <v>1</v>
      </c>
      <c r="C62" s="474"/>
      <c r="D62" s="477"/>
      <c r="E62" s="135">
        <v>3</v>
      </c>
      <c r="F62" s="137">
        <v>38272677</v>
      </c>
      <c r="G62" s="220">
        <f>IF(ISBLANK(F62),"-",(F62/$D$50*$D$47*$B$68)*($B$57/$D$60))</f>
        <v>199.48647392409174</v>
      </c>
      <c r="H62" s="136">
        <f t="shared" si="0"/>
        <v>0.99743236962045867</v>
      </c>
      <c r="L62" s="62"/>
    </row>
    <row r="63" spans="1:12" ht="27" customHeight="1" x14ac:dyDescent="0.4">
      <c r="A63" s="74" t="s">
        <v>96</v>
      </c>
      <c r="B63" s="75">
        <v>1</v>
      </c>
      <c r="C63" s="475"/>
      <c r="D63" s="478"/>
      <c r="E63" s="138">
        <v>4</v>
      </c>
      <c r="F63" s="139"/>
      <c r="G63" s="220" t="str">
        <f>IF(ISBLANK(F63),"-",(F63/$D$50*$D$47*$B$68)*($B$57/$D$60))</f>
        <v>-</v>
      </c>
      <c r="H63" s="136" t="str">
        <f t="shared" si="0"/>
        <v>-</v>
      </c>
    </row>
    <row r="64" spans="1:12" ht="26.25" customHeight="1" x14ac:dyDescent="0.4">
      <c r="A64" s="74" t="s">
        <v>97</v>
      </c>
      <c r="B64" s="75">
        <v>1</v>
      </c>
      <c r="C64" s="473" t="s">
        <v>98</v>
      </c>
      <c r="D64" s="476">
        <v>485.8</v>
      </c>
      <c r="E64" s="132">
        <v>1</v>
      </c>
      <c r="F64" s="133">
        <v>36516220</v>
      </c>
      <c r="G64" s="221">
        <f>IF(ISBLANK(F64),"-",(F64/$D$50*$D$47*$B$68)*($B$57/$D$64))</f>
        <v>205.27033203745509</v>
      </c>
      <c r="H64" s="140">
        <f t="shared" si="0"/>
        <v>1.0263516601872755</v>
      </c>
    </row>
    <row r="65" spans="1:8" ht="26.25" customHeight="1" x14ac:dyDescent="0.4">
      <c r="A65" s="74" t="s">
        <v>99</v>
      </c>
      <c r="B65" s="75">
        <v>1</v>
      </c>
      <c r="C65" s="474"/>
      <c r="D65" s="477"/>
      <c r="E65" s="135">
        <v>2</v>
      </c>
      <c r="F65" s="87">
        <v>36510876</v>
      </c>
      <c r="G65" s="222">
        <f>IF(ISBLANK(F65),"-",(F65/$D$50*$D$47*$B$68)*($B$57/$D$64))</f>
        <v>205.24029156080098</v>
      </c>
      <c r="H65" s="141">
        <f t="shared" si="0"/>
        <v>1.0262014578040048</v>
      </c>
    </row>
    <row r="66" spans="1:8" ht="26.25" customHeight="1" x14ac:dyDescent="0.4">
      <c r="A66" s="74" t="s">
        <v>100</v>
      </c>
      <c r="B66" s="75">
        <v>1</v>
      </c>
      <c r="C66" s="474"/>
      <c r="D66" s="477"/>
      <c r="E66" s="135">
        <v>3</v>
      </c>
      <c r="F66" s="87">
        <v>36603395</v>
      </c>
      <c r="G66" s="222">
        <f>IF(ISBLANK(F66),"-",(F66/$D$50*$D$47*$B$68)*($B$57/$D$64))</f>
        <v>205.76037293422274</v>
      </c>
      <c r="H66" s="141">
        <f t="shared" si="0"/>
        <v>1.0288018646711137</v>
      </c>
    </row>
    <row r="67" spans="1:8" ht="27" customHeight="1" x14ac:dyDescent="0.4">
      <c r="A67" s="74" t="s">
        <v>101</v>
      </c>
      <c r="B67" s="75">
        <v>1</v>
      </c>
      <c r="C67" s="475"/>
      <c r="D67" s="478"/>
      <c r="E67" s="138">
        <v>4</v>
      </c>
      <c r="F67" s="139"/>
      <c r="G67" s="223" t="str">
        <f>IF(ISBLANK(F67),"-",(F67/$D$50*$D$47*$B$68)*($B$57/$D$64))</f>
        <v>-</v>
      </c>
      <c r="H67" s="142" t="str">
        <f t="shared" si="0"/>
        <v>-</v>
      </c>
    </row>
    <row r="68" spans="1:8" ht="26.25" customHeight="1" x14ac:dyDescent="0.4">
      <c r="A68" s="74" t="s">
        <v>102</v>
      </c>
      <c r="B68" s="143">
        <f>(B67/B66)*(B65/B64)*(B63/B62)*(B61/B60)*B59</f>
        <v>5000</v>
      </c>
      <c r="C68" s="473" t="s">
        <v>103</v>
      </c>
      <c r="D68" s="476">
        <v>519.36</v>
      </c>
      <c r="E68" s="132">
        <v>1</v>
      </c>
      <c r="F68" s="133">
        <v>39068902</v>
      </c>
      <c r="G68" s="221">
        <f>IF(ISBLANK(F68),"-",(F68/$D$50*$D$47*$B$68)*($B$57/$D$68))</f>
        <v>205.42844943184431</v>
      </c>
      <c r="H68" s="136">
        <f t="shared" si="0"/>
        <v>1.0271422471592215</v>
      </c>
    </row>
    <row r="69" spans="1:8" ht="27" customHeight="1" x14ac:dyDescent="0.4">
      <c r="A69" s="122" t="s">
        <v>104</v>
      </c>
      <c r="B69" s="144">
        <f>(D47*B68)/B56*B57</f>
        <v>1014.8174999999998</v>
      </c>
      <c r="C69" s="474"/>
      <c r="D69" s="477"/>
      <c r="E69" s="135">
        <v>2</v>
      </c>
      <c r="F69" s="87">
        <v>39057276</v>
      </c>
      <c r="G69" s="222">
        <f>IF(ISBLANK(F69),"-",(F69/$D$50*$D$47*$B$68)*($B$57/$D$68))</f>
        <v>205.36731868511652</v>
      </c>
      <c r="H69" s="136">
        <f t="shared" si="0"/>
        <v>1.0268365934255825</v>
      </c>
    </row>
    <row r="70" spans="1:8" ht="26.25" customHeight="1" x14ac:dyDescent="0.4">
      <c r="A70" s="486" t="s">
        <v>77</v>
      </c>
      <c r="B70" s="487"/>
      <c r="C70" s="474"/>
      <c r="D70" s="477"/>
      <c r="E70" s="135">
        <v>3</v>
      </c>
      <c r="F70" s="87">
        <v>39215990</v>
      </c>
      <c r="G70" s="222">
        <f>IF(ISBLANK(F70),"-",(F70/$D$50*$D$47*$B$68)*($B$57/$D$68))</f>
        <v>206.20185380778591</v>
      </c>
      <c r="H70" s="136">
        <f t="shared" si="0"/>
        <v>1.0310092690389296</v>
      </c>
    </row>
    <row r="71" spans="1:8" ht="27" customHeight="1" x14ac:dyDescent="0.4">
      <c r="A71" s="488"/>
      <c r="B71" s="489"/>
      <c r="C71" s="485"/>
      <c r="D71" s="478"/>
      <c r="E71" s="138">
        <v>4</v>
      </c>
      <c r="F71" s="139"/>
      <c r="G71" s="223" t="str">
        <f>IF(ISBLANK(F71),"-",(F71/$D$50*$D$47*$B$68)*($B$57/$D$68))</f>
        <v>-</v>
      </c>
      <c r="H71" s="145" t="str">
        <f t="shared" si="0"/>
        <v>-</v>
      </c>
    </row>
    <row r="72" spans="1:8" ht="26.25" customHeight="1" x14ac:dyDescent="0.4">
      <c r="A72" s="146"/>
      <c r="B72" s="146"/>
      <c r="C72" s="146"/>
      <c r="D72" s="146"/>
      <c r="E72" s="146"/>
      <c r="F72" s="148" t="s">
        <v>70</v>
      </c>
      <c r="G72" s="228">
        <f>AVERAGE(G60:G71)</f>
        <v>203.5178530230375</v>
      </c>
      <c r="H72" s="149">
        <f>AVERAGE(H60:H71)</f>
        <v>1.0175892651151874</v>
      </c>
    </row>
    <row r="73" spans="1:8" ht="26.25" customHeight="1" x14ac:dyDescent="0.4">
      <c r="C73" s="146"/>
      <c r="D73" s="146"/>
      <c r="E73" s="146"/>
      <c r="F73" s="150" t="s">
        <v>83</v>
      </c>
      <c r="G73" s="224">
        <f>STDEV(G60:G71)/G72</f>
        <v>1.5008848655240346E-2</v>
      </c>
      <c r="H73" s="224">
        <f>STDEV(H60:H71)/H72</f>
        <v>1.5008848655240369E-2</v>
      </c>
    </row>
    <row r="74" spans="1:8" ht="27" customHeight="1" x14ac:dyDescent="0.4">
      <c r="A74" s="146"/>
      <c r="B74" s="146"/>
      <c r="C74" s="147"/>
      <c r="D74" s="147"/>
      <c r="E74" s="151"/>
      <c r="F74" s="152" t="s">
        <v>20</v>
      </c>
      <c r="G74" s="153">
        <f>COUNT(G60:G71)</f>
        <v>9</v>
      </c>
      <c r="H74" s="153">
        <f>COUNT(H60:H71)</f>
        <v>9</v>
      </c>
    </row>
    <row r="76" spans="1:8" ht="26.25" customHeight="1" x14ac:dyDescent="0.4">
      <c r="A76" s="58" t="s">
        <v>105</v>
      </c>
      <c r="B76" s="154" t="s">
        <v>106</v>
      </c>
      <c r="C76" s="481" t="str">
        <f>B20</f>
        <v>Ofloxacin
Ornidazole</v>
      </c>
      <c r="D76" s="481"/>
      <c r="E76" s="155" t="s">
        <v>107</v>
      </c>
      <c r="F76" s="155"/>
      <c r="G76" s="156">
        <f>H72</f>
        <v>1.0175892651151874</v>
      </c>
      <c r="H76" s="157"/>
    </row>
    <row r="77" spans="1:8" ht="18.75" x14ac:dyDescent="0.3">
      <c r="A77" s="57" t="s">
        <v>108</v>
      </c>
      <c r="B77" s="57" t="s">
        <v>109</v>
      </c>
    </row>
    <row r="78" spans="1:8" ht="18.75" x14ac:dyDescent="0.3">
      <c r="A78" s="57"/>
      <c r="B78" s="57"/>
    </row>
    <row r="79" spans="1:8" ht="26.25" customHeight="1" x14ac:dyDescent="0.4">
      <c r="A79" s="58" t="s">
        <v>4</v>
      </c>
      <c r="B79" s="467" t="str">
        <f>B26</f>
        <v>ofloxacin</v>
      </c>
      <c r="C79" s="467"/>
    </row>
    <row r="80" spans="1:8" ht="26.25" customHeight="1" x14ac:dyDescent="0.4">
      <c r="A80" s="59" t="s">
        <v>47</v>
      </c>
      <c r="B80" s="467" t="str">
        <f>B27</f>
        <v>O 18 1</v>
      </c>
      <c r="C80" s="467"/>
    </row>
    <row r="81" spans="1:12" ht="27" customHeight="1" x14ac:dyDescent="0.4">
      <c r="A81" s="59" t="s">
        <v>6</v>
      </c>
      <c r="B81" s="158">
        <f>B28</f>
        <v>98.57</v>
      </c>
    </row>
    <row r="82" spans="1:12" s="3" customFormat="1" ht="27" customHeight="1" x14ac:dyDescent="0.4">
      <c r="A82" s="59" t="s">
        <v>48</v>
      </c>
      <c r="B82" s="61">
        <v>0</v>
      </c>
      <c r="C82" s="458" t="s">
        <v>49</v>
      </c>
      <c r="D82" s="459"/>
      <c r="E82" s="459"/>
      <c r="F82" s="459"/>
      <c r="G82" s="460"/>
      <c r="I82" s="62"/>
      <c r="J82" s="62"/>
      <c r="K82" s="62"/>
      <c r="L82" s="62"/>
    </row>
    <row r="83" spans="1:12" s="3" customFormat="1" ht="19.5" customHeight="1" x14ac:dyDescent="0.3">
      <c r="A83" s="59" t="s">
        <v>50</v>
      </c>
      <c r="B83" s="63">
        <f>B81-B82</f>
        <v>98.57</v>
      </c>
      <c r="C83" s="64"/>
      <c r="D83" s="64"/>
      <c r="E83" s="64"/>
      <c r="F83" s="64"/>
      <c r="G83" s="65"/>
      <c r="I83" s="62"/>
      <c r="J83" s="62"/>
      <c r="K83" s="62"/>
      <c r="L83" s="62"/>
    </row>
    <row r="84" spans="1:12" s="3" customFormat="1" ht="27" customHeight="1" x14ac:dyDescent="0.4">
      <c r="A84" s="59" t="s">
        <v>51</v>
      </c>
      <c r="B84" s="66">
        <v>1</v>
      </c>
      <c r="C84" s="461" t="s">
        <v>110</v>
      </c>
      <c r="D84" s="462"/>
      <c r="E84" s="462"/>
      <c r="F84" s="462"/>
      <c r="G84" s="462"/>
      <c r="H84" s="463"/>
      <c r="I84" s="62"/>
      <c r="J84" s="62"/>
      <c r="K84" s="62"/>
      <c r="L84" s="62"/>
    </row>
    <row r="85" spans="1:12" s="3" customFormat="1" ht="27" customHeight="1" x14ac:dyDescent="0.4">
      <c r="A85" s="59" t="s">
        <v>53</v>
      </c>
      <c r="B85" s="66">
        <v>1</v>
      </c>
      <c r="C85" s="461" t="s">
        <v>111</v>
      </c>
      <c r="D85" s="462"/>
      <c r="E85" s="462"/>
      <c r="F85" s="462"/>
      <c r="G85" s="462"/>
      <c r="H85" s="463"/>
      <c r="I85" s="62"/>
      <c r="J85" s="62"/>
      <c r="K85" s="62"/>
      <c r="L85" s="62"/>
    </row>
    <row r="86" spans="1:12" s="3" customFormat="1" ht="18.75" x14ac:dyDescent="0.3">
      <c r="A86" s="59"/>
      <c r="B86" s="69"/>
      <c r="C86" s="70"/>
      <c r="D86" s="70"/>
      <c r="E86" s="70"/>
      <c r="F86" s="70"/>
      <c r="G86" s="70"/>
      <c r="H86" s="70"/>
      <c r="I86" s="62"/>
      <c r="J86" s="62"/>
      <c r="K86" s="62"/>
      <c r="L86" s="62"/>
    </row>
    <row r="87" spans="1:12" s="3" customFormat="1" ht="18.75" x14ac:dyDescent="0.3">
      <c r="A87" s="59" t="s">
        <v>55</v>
      </c>
      <c r="B87" s="71">
        <f>B84/B85</f>
        <v>1</v>
      </c>
      <c r="C87" s="49" t="s">
        <v>56</v>
      </c>
      <c r="D87" s="49"/>
      <c r="E87" s="49"/>
      <c r="F87" s="49"/>
      <c r="G87" s="49"/>
      <c r="I87" s="62"/>
      <c r="J87" s="62"/>
      <c r="K87" s="62"/>
      <c r="L87" s="62"/>
    </row>
    <row r="88" spans="1:12" ht="19.5" customHeight="1" x14ac:dyDescent="0.3">
      <c r="A88" s="57"/>
      <c r="B88" s="57"/>
    </row>
    <row r="89" spans="1:12" ht="27" customHeight="1" x14ac:dyDescent="0.4">
      <c r="A89" s="72" t="s">
        <v>57</v>
      </c>
      <c r="B89" s="73">
        <v>50</v>
      </c>
      <c r="D89" s="159" t="s">
        <v>58</v>
      </c>
      <c r="E89" s="160"/>
      <c r="F89" s="464" t="s">
        <v>59</v>
      </c>
      <c r="G89" s="466"/>
    </row>
    <row r="90" spans="1:12" ht="27" customHeight="1" x14ac:dyDescent="0.4">
      <c r="A90" s="74" t="s">
        <v>60</v>
      </c>
      <c r="B90" s="75">
        <v>5</v>
      </c>
      <c r="C90" s="161" t="s">
        <v>61</v>
      </c>
      <c r="D90" s="77" t="s">
        <v>62</v>
      </c>
      <c r="E90" s="78" t="s">
        <v>63</v>
      </c>
      <c r="F90" s="77" t="s">
        <v>62</v>
      </c>
      <c r="G90" s="162" t="s">
        <v>63</v>
      </c>
      <c r="I90" s="80" t="s">
        <v>64</v>
      </c>
    </row>
    <row r="91" spans="1:12" ht="26.25" customHeight="1" x14ac:dyDescent="0.4">
      <c r="A91" s="74" t="s">
        <v>65</v>
      </c>
      <c r="B91" s="75">
        <v>50</v>
      </c>
      <c r="C91" s="163">
        <v>1</v>
      </c>
      <c r="D91" s="231">
        <v>76711767</v>
      </c>
      <c r="E91" s="83">
        <f>IF(ISBLANK(D91),"-",$D$101/$D$98*D91)</f>
        <v>41295054.458637536</v>
      </c>
      <c r="F91" s="231">
        <v>70987565</v>
      </c>
      <c r="G91" s="84">
        <f>IF(ISBLANK(F91),"-",$D$101/$F$98*F91)</f>
        <v>41268359.418080941</v>
      </c>
      <c r="I91" s="85"/>
    </row>
    <row r="92" spans="1:12" ht="26.25" customHeight="1" x14ac:dyDescent="0.4">
      <c r="A92" s="74" t="s">
        <v>66</v>
      </c>
      <c r="B92" s="75">
        <v>1</v>
      </c>
      <c r="C92" s="147">
        <v>2</v>
      </c>
      <c r="D92" s="232">
        <v>76761347</v>
      </c>
      <c r="E92" s="88">
        <f>IF(ISBLANK(D92),"-",$D$101/$D$98*D92)</f>
        <v>41321744.090230286</v>
      </c>
      <c r="F92" s="232">
        <v>71033929</v>
      </c>
      <c r="G92" s="89">
        <f>IF(ISBLANK(F92),"-",$D$101/$F$98*F92)</f>
        <v>41295312.958691329</v>
      </c>
      <c r="I92" s="468">
        <f>ABS((F96/D96*D95)-F95)/D95</f>
        <v>3.7933708959106866E-4</v>
      </c>
    </row>
    <row r="93" spans="1:12" ht="26.25" customHeight="1" x14ac:dyDescent="0.4">
      <c r="A93" s="74" t="s">
        <v>67</v>
      </c>
      <c r="B93" s="75">
        <v>1</v>
      </c>
      <c r="C93" s="147">
        <v>3</v>
      </c>
      <c r="D93" s="232">
        <v>76682579</v>
      </c>
      <c r="E93" s="88">
        <f>IF(ISBLANK(D93),"-",$D$101/$D$98*D93)</f>
        <v>41279342.135787003</v>
      </c>
      <c r="F93" s="232">
        <v>71010535</v>
      </c>
      <c r="G93" s="89">
        <f>IF(ISBLANK(F93),"-",$D$101/$F$98*F93)</f>
        <v>41281712.942967072</v>
      </c>
      <c r="I93" s="468"/>
    </row>
    <row r="94" spans="1:12" ht="27" customHeight="1" x14ac:dyDescent="0.4">
      <c r="A94" s="74" t="s">
        <v>68</v>
      </c>
      <c r="B94" s="75">
        <v>1</v>
      </c>
      <c r="C94" s="164">
        <v>4</v>
      </c>
      <c r="D94" s="92"/>
      <c r="E94" s="93" t="str">
        <f>IF(ISBLANK(D94),"-",$D$101/$D$98*D94)</f>
        <v>-</v>
      </c>
      <c r="F94" s="165"/>
      <c r="G94" s="94" t="str">
        <f>IF(ISBLANK(F94),"-",$D$101/$F$98*F94)</f>
        <v>-</v>
      </c>
      <c r="I94" s="95"/>
    </row>
    <row r="95" spans="1:12" ht="27" customHeight="1" x14ac:dyDescent="0.4">
      <c r="A95" s="74" t="s">
        <v>69</v>
      </c>
      <c r="B95" s="75">
        <v>1</v>
      </c>
      <c r="C95" s="166" t="s">
        <v>70</v>
      </c>
      <c r="D95" s="167">
        <f>AVERAGE(D91:D94)</f>
        <v>76718564.333333328</v>
      </c>
      <c r="E95" s="98">
        <f>AVERAGE(E91:E94)</f>
        <v>41298713.561551608</v>
      </c>
      <c r="F95" s="168">
        <f>AVERAGE(F91:F94)</f>
        <v>71010676.333333328</v>
      </c>
      <c r="G95" s="169">
        <f>AVERAGE(G91:G94)</f>
        <v>41281795.106579781</v>
      </c>
    </row>
    <row r="96" spans="1:12" ht="26.25" customHeight="1" x14ac:dyDescent="0.4">
      <c r="A96" s="74" t="s">
        <v>71</v>
      </c>
      <c r="B96" s="60">
        <v>1</v>
      </c>
      <c r="C96" s="170" t="s">
        <v>112</v>
      </c>
      <c r="D96" s="171">
        <v>20.94</v>
      </c>
      <c r="E96" s="90"/>
      <c r="F96" s="102">
        <v>19.39</v>
      </c>
    </row>
    <row r="97" spans="1:10" ht="26.25" customHeight="1" x14ac:dyDescent="0.4">
      <c r="A97" s="74" t="s">
        <v>73</v>
      </c>
      <c r="B97" s="60">
        <v>1</v>
      </c>
      <c r="C97" s="172" t="s">
        <v>113</v>
      </c>
      <c r="D97" s="173">
        <f>D96*$B$87</f>
        <v>20.94</v>
      </c>
      <c r="E97" s="105"/>
      <c r="F97" s="104">
        <f>F96*$B$87</f>
        <v>19.39</v>
      </c>
    </row>
    <row r="98" spans="1:10" ht="19.5" customHeight="1" x14ac:dyDescent="0.3">
      <c r="A98" s="74" t="s">
        <v>75</v>
      </c>
      <c r="B98" s="174">
        <f>(B97/B96)*(B95/B94)*(B93/B92)*(B91/B90)*B89</f>
        <v>500</v>
      </c>
      <c r="C98" s="172" t="s">
        <v>114</v>
      </c>
      <c r="D98" s="175">
        <f>D97*$B$83/100</f>
        <v>20.640558000000002</v>
      </c>
      <c r="E98" s="108"/>
      <c r="F98" s="107">
        <f>F97*$B$83/100</f>
        <v>19.112722999999999</v>
      </c>
    </row>
    <row r="99" spans="1:10" ht="19.5" customHeight="1" x14ac:dyDescent="0.3">
      <c r="A99" s="469" t="s">
        <v>77</v>
      </c>
      <c r="B99" s="483"/>
      <c r="C99" s="172" t="s">
        <v>115</v>
      </c>
      <c r="D99" s="176">
        <f>D98/$B$98</f>
        <v>4.1281116000000007E-2</v>
      </c>
      <c r="E99" s="108"/>
      <c r="F99" s="111">
        <f>F98/$B$98</f>
        <v>3.8225445999999996E-2</v>
      </c>
      <c r="G99" s="177"/>
      <c r="H99" s="100"/>
    </row>
    <row r="100" spans="1:10" ht="19.5" customHeight="1" x14ac:dyDescent="0.3">
      <c r="A100" s="471"/>
      <c r="B100" s="484"/>
      <c r="C100" s="172" t="s">
        <v>79</v>
      </c>
      <c r="D100" s="178">
        <f>$B$56/$B$116</f>
        <v>2.2222222222222223E-2</v>
      </c>
      <c r="F100" s="116"/>
      <c r="G100" s="179"/>
      <c r="H100" s="100"/>
    </row>
    <row r="101" spans="1:10" ht="18.75" x14ac:dyDescent="0.3">
      <c r="C101" s="172" t="s">
        <v>80</v>
      </c>
      <c r="D101" s="173">
        <f>D100*$B$98</f>
        <v>11.111111111111111</v>
      </c>
      <c r="F101" s="116"/>
      <c r="G101" s="177"/>
      <c r="H101" s="100"/>
    </row>
    <row r="102" spans="1:10" ht="19.5" customHeight="1" x14ac:dyDescent="0.3">
      <c r="C102" s="180" t="s">
        <v>81</v>
      </c>
      <c r="D102" s="181">
        <f>D101/B34</f>
        <v>11.111111111111111</v>
      </c>
      <c r="F102" s="120"/>
      <c r="G102" s="177"/>
      <c r="H102" s="100"/>
      <c r="J102" s="182"/>
    </row>
    <row r="103" spans="1:10" ht="18.75" x14ac:dyDescent="0.3">
      <c r="C103" s="183" t="s">
        <v>116</v>
      </c>
      <c r="D103" s="184">
        <f>AVERAGE(E91:E94,G91:G94)</f>
        <v>41290254.334065698</v>
      </c>
      <c r="F103" s="120"/>
      <c r="G103" s="185"/>
      <c r="H103" s="100"/>
      <c r="J103" s="186"/>
    </row>
    <row r="104" spans="1:10" ht="18.75" x14ac:dyDescent="0.3">
      <c r="C104" s="150" t="s">
        <v>83</v>
      </c>
      <c r="D104" s="187">
        <f>STDEV(E91:E94,G91:G94)/D103</f>
        <v>4.4810055358453265E-4</v>
      </c>
      <c r="F104" s="120"/>
      <c r="G104" s="177"/>
      <c r="H104" s="100"/>
      <c r="J104" s="186"/>
    </row>
    <row r="105" spans="1:10" ht="19.5" customHeight="1" x14ac:dyDescent="0.3">
      <c r="C105" s="152" t="s">
        <v>20</v>
      </c>
      <c r="D105" s="188">
        <f>COUNT(E91:E94,G91:G94)</f>
        <v>6</v>
      </c>
      <c r="F105" s="120"/>
      <c r="G105" s="177"/>
      <c r="H105" s="100"/>
      <c r="J105" s="186"/>
    </row>
    <row r="106" spans="1:10" ht="19.5" customHeight="1" x14ac:dyDescent="0.3">
      <c r="A106" s="124"/>
      <c r="B106" s="124"/>
      <c r="C106" s="124"/>
      <c r="D106" s="124"/>
      <c r="E106" s="124"/>
    </row>
    <row r="107" spans="1:10" ht="26.25" customHeight="1" x14ac:dyDescent="0.4">
      <c r="A107" s="72" t="s">
        <v>117</v>
      </c>
      <c r="B107" s="73">
        <v>900</v>
      </c>
      <c r="C107" s="189" t="s">
        <v>118</v>
      </c>
      <c r="D107" s="190" t="s">
        <v>62</v>
      </c>
      <c r="E107" s="191" t="s">
        <v>119</v>
      </c>
      <c r="F107" s="192" t="s">
        <v>120</v>
      </c>
    </row>
    <row r="108" spans="1:10" ht="26.25" customHeight="1" x14ac:dyDescent="0.4">
      <c r="A108" s="74" t="s">
        <v>121</v>
      </c>
      <c r="B108" s="75">
        <v>2</v>
      </c>
      <c r="C108" s="193">
        <v>1</v>
      </c>
      <c r="D108" s="194">
        <v>41853993</v>
      </c>
      <c r="E108" s="225">
        <f t="shared" ref="E108:E113" si="1">IF(ISBLANK(D108),"-",D108/$D$103*$D$100*$B$116)</f>
        <v>202.73061367640548</v>
      </c>
      <c r="F108" s="195">
        <f t="shared" ref="F108:F113" si="2">IF(ISBLANK(D108), "-", E108/$B$56)</f>
        <v>1.0136530683820275</v>
      </c>
    </row>
    <row r="109" spans="1:10" ht="26.25" customHeight="1" x14ac:dyDescent="0.4">
      <c r="A109" s="74" t="s">
        <v>94</v>
      </c>
      <c r="B109" s="75">
        <v>20</v>
      </c>
      <c r="C109" s="193">
        <v>2</v>
      </c>
      <c r="D109" s="194">
        <v>40136053</v>
      </c>
      <c r="E109" s="226">
        <f t="shared" si="1"/>
        <v>194.40932804759476</v>
      </c>
      <c r="F109" s="196">
        <f t="shared" si="2"/>
        <v>0.97204664023797382</v>
      </c>
    </row>
    <row r="110" spans="1:10" ht="26.25" customHeight="1" x14ac:dyDescent="0.4">
      <c r="A110" s="74" t="s">
        <v>95</v>
      </c>
      <c r="B110" s="75">
        <v>1</v>
      </c>
      <c r="C110" s="193">
        <v>3</v>
      </c>
      <c r="D110" s="194">
        <v>40373869</v>
      </c>
      <c r="E110" s="226">
        <f t="shared" si="1"/>
        <v>195.56125120154732</v>
      </c>
      <c r="F110" s="196">
        <f t="shared" si="2"/>
        <v>0.97780625600773663</v>
      </c>
    </row>
    <row r="111" spans="1:10" ht="26.25" customHeight="1" x14ac:dyDescent="0.4">
      <c r="A111" s="74" t="s">
        <v>96</v>
      </c>
      <c r="B111" s="75">
        <v>1</v>
      </c>
      <c r="C111" s="193">
        <v>4</v>
      </c>
      <c r="D111" s="194">
        <v>38570427</v>
      </c>
      <c r="E111" s="226">
        <f t="shared" si="1"/>
        <v>186.82581457570845</v>
      </c>
      <c r="F111" s="196">
        <f t="shared" si="2"/>
        <v>0.9341290728785423</v>
      </c>
    </row>
    <row r="112" spans="1:10" ht="26.25" customHeight="1" x14ac:dyDescent="0.4">
      <c r="A112" s="74" t="s">
        <v>97</v>
      </c>
      <c r="B112" s="75">
        <v>1</v>
      </c>
      <c r="C112" s="193">
        <v>5</v>
      </c>
      <c r="D112" s="194">
        <v>41970758</v>
      </c>
      <c r="E112" s="226">
        <f t="shared" si="1"/>
        <v>203.29619507997492</v>
      </c>
      <c r="F112" s="196">
        <f t="shared" si="2"/>
        <v>1.0164809753998747</v>
      </c>
    </row>
    <row r="113" spans="1:10" ht="26.25" customHeight="1" x14ac:dyDescent="0.4">
      <c r="A113" s="74" t="s">
        <v>99</v>
      </c>
      <c r="B113" s="75">
        <v>1</v>
      </c>
      <c r="C113" s="197">
        <v>6</v>
      </c>
      <c r="D113" s="198">
        <v>41733706</v>
      </c>
      <c r="E113" s="227">
        <f t="shared" si="1"/>
        <v>202.14797255713896</v>
      </c>
      <c r="F113" s="199">
        <f t="shared" si="2"/>
        <v>1.0107398627856947</v>
      </c>
    </row>
    <row r="114" spans="1:10" ht="26.25" customHeight="1" x14ac:dyDescent="0.4">
      <c r="A114" s="74" t="s">
        <v>100</v>
      </c>
      <c r="B114" s="75">
        <v>1</v>
      </c>
      <c r="C114" s="193"/>
      <c r="D114" s="147"/>
      <c r="E114" s="48"/>
      <c r="F114" s="200"/>
    </row>
    <row r="115" spans="1:10" ht="26.25" customHeight="1" x14ac:dyDescent="0.4">
      <c r="A115" s="74" t="s">
        <v>101</v>
      </c>
      <c r="B115" s="75">
        <v>1</v>
      </c>
      <c r="C115" s="193"/>
      <c r="D115" s="201" t="s">
        <v>70</v>
      </c>
      <c r="E115" s="229">
        <f>AVERAGE(E108:E113)</f>
        <v>197.49519585639499</v>
      </c>
      <c r="F115" s="202">
        <f>AVERAGE(F108:F113)</f>
        <v>0.98747597928197484</v>
      </c>
    </row>
    <row r="116" spans="1:10" ht="27" customHeight="1" x14ac:dyDescent="0.4">
      <c r="A116" s="74" t="s">
        <v>102</v>
      </c>
      <c r="B116" s="106">
        <f>(B115/B114)*(B113/B112)*(B111/B110)*(B109/B108)*B107</f>
        <v>9000</v>
      </c>
      <c r="C116" s="203"/>
      <c r="D116" s="166" t="s">
        <v>83</v>
      </c>
      <c r="E116" s="204">
        <f>STDEV(E108:E113)/E115</f>
        <v>3.2799666185212899E-2</v>
      </c>
      <c r="F116" s="204">
        <f>STDEV(F108:F113)/F115</f>
        <v>3.2799666185212899E-2</v>
      </c>
      <c r="I116" s="48"/>
    </row>
    <row r="117" spans="1:10" ht="27" customHeight="1" x14ac:dyDescent="0.4">
      <c r="A117" s="469" t="s">
        <v>77</v>
      </c>
      <c r="B117" s="470"/>
      <c r="C117" s="205"/>
      <c r="D117" s="206" t="s">
        <v>20</v>
      </c>
      <c r="E117" s="207">
        <f>COUNT(E108:E113)</f>
        <v>6</v>
      </c>
      <c r="F117" s="207">
        <f>COUNT(F108:F113)</f>
        <v>6</v>
      </c>
      <c r="I117" s="48"/>
      <c r="J117" s="186"/>
    </row>
    <row r="118" spans="1:10" ht="19.5" customHeight="1" x14ac:dyDescent="0.3">
      <c r="A118" s="471"/>
      <c r="B118" s="472"/>
      <c r="C118" s="48"/>
      <c r="D118" s="48"/>
      <c r="E118" s="48"/>
      <c r="F118" s="147"/>
      <c r="G118" s="48"/>
      <c r="H118" s="48"/>
      <c r="I118" s="48"/>
    </row>
    <row r="119" spans="1:10" ht="18.75" x14ac:dyDescent="0.3">
      <c r="A119" s="216"/>
      <c r="B119" s="70"/>
      <c r="C119" s="48"/>
      <c r="D119" s="48"/>
      <c r="E119" s="48"/>
      <c r="F119" s="147"/>
      <c r="G119" s="48"/>
      <c r="H119" s="48"/>
      <c r="I119" s="48"/>
    </row>
    <row r="120" spans="1:10" ht="26.25" customHeight="1" x14ac:dyDescent="0.4">
      <c r="A120" s="58" t="s">
        <v>105</v>
      </c>
      <c r="B120" s="154" t="s">
        <v>122</v>
      </c>
      <c r="C120" s="481" t="str">
        <f>B20</f>
        <v>Ofloxacin
Ornidazole</v>
      </c>
      <c r="D120" s="481"/>
      <c r="E120" s="155" t="s">
        <v>123</v>
      </c>
      <c r="F120" s="155"/>
      <c r="G120" s="156">
        <f>F115</f>
        <v>0.98747597928197484</v>
      </c>
      <c r="H120" s="48"/>
      <c r="I120" s="48"/>
    </row>
    <row r="121" spans="1:10" ht="19.5" customHeight="1" x14ac:dyDescent="0.3">
      <c r="A121" s="208"/>
      <c r="B121" s="208"/>
      <c r="C121" s="209"/>
      <c r="D121" s="209"/>
      <c r="E121" s="209"/>
      <c r="F121" s="209"/>
      <c r="G121" s="209"/>
      <c r="H121" s="209"/>
    </row>
    <row r="122" spans="1:10" ht="18.75" x14ac:dyDescent="0.3">
      <c r="B122" s="482" t="s">
        <v>25</v>
      </c>
      <c r="C122" s="482"/>
      <c r="E122" s="161" t="s">
        <v>26</v>
      </c>
      <c r="F122" s="210"/>
      <c r="G122" s="482" t="s">
        <v>27</v>
      </c>
      <c r="H122" s="482"/>
    </row>
    <row r="123" spans="1:10" ht="69.95" customHeight="1" x14ac:dyDescent="0.3">
      <c r="A123" s="211" t="s">
        <v>28</v>
      </c>
      <c r="B123" s="212"/>
      <c r="C123" s="212"/>
      <c r="E123" s="212"/>
      <c r="F123" s="48"/>
      <c r="G123" s="213"/>
      <c r="H123" s="213"/>
    </row>
    <row r="124" spans="1:10" ht="69.95" customHeight="1" x14ac:dyDescent="0.3">
      <c r="A124" s="211" t="s">
        <v>29</v>
      </c>
      <c r="B124" s="214"/>
      <c r="C124" s="438" t="s">
        <v>131</v>
      </c>
      <c r="D124" s="234"/>
      <c r="E124" s="526">
        <v>42412</v>
      </c>
      <c r="F124" s="48"/>
      <c r="G124" s="215"/>
      <c r="H124" s="215"/>
    </row>
    <row r="125" spans="1:10" ht="18.75" x14ac:dyDescent="0.3">
      <c r="A125" s="146"/>
      <c r="B125" s="146"/>
      <c r="C125" s="147"/>
      <c r="D125" s="147"/>
      <c r="E125" s="147"/>
      <c r="F125" s="151"/>
      <c r="G125" s="147"/>
      <c r="H125" s="147"/>
      <c r="I125" s="48"/>
    </row>
    <row r="126" spans="1:10" ht="18.75" x14ac:dyDescent="0.3">
      <c r="A126" s="146"/>
      <c r="B126" s="146"/>
      <c r="C126" s="147"/>
      <c r="D126" s="147"/>
      <c r="E126" s="147"/>
      <c r="F126" s="151"/>
      <c r="G126" s="147"/>
      <c r="H126" s="147"/>
      <c r="I126" s="48"/>
    </row>
    <row r="127" spans="1:10" ht="18.75" x14ac:dyDescent="0.3">
      <c r="A127" s="146"/>
      <c r="B127" s="146"/>
      <c r="C127" s="147"/>
      <c r="D127" s="147"/>
      <c r="E127" s="147"/>
      <c r="F127" s="151"/>
      <c r="G127" s="147"/>
      <c r="H127" s="147"/>
      <c r="I127" s="48"/>
    </row>
    <row r="128" spans="1:10" ht="18.75" x14ac:dyDescent="0.3">
      <c r="A128" s="146"/>
      <c r="B128" s="146"/>
      <c r="C128" s="147"/>
      <c r="D128" s="147"/>
      <c r="E128" s="147"/>
      <c r="F128" s="151"/>
      <c r="G128" s="147"/>
      <c r="H128" s="147"/>
      <c r="I128" s="48"/>
    </row>
    <row r="129" spans="1:9" ht="18.75" x14ac:dyDescent="0.3">
      <c r="A129" s="146"/>
      <c r="B129" s="146"/>
      <c r="C129" s="147"/>
      <c r="D129" s="147"/>
      <c r="E129" s="147"/>
      <c r="F129" s="151"/>
      <c r="G129" s="147"/>
      <c r="H129" s="147"/>
      <c r="I129" s="48"/>
    </row>
    <row r="130" spans="1:9" ht="18.75" x14ac:dyDescent="0.3">
      <c r="A130" s="146"/>
      <c r="B130" s="146"/>
      <c r="C130" s="147"/>
      <c r="D130" s="147"/>
      <c r="E130" s="147"/>
      <c r="F130" s="151"/>
      <c r="G130" s="147"/>
      <c r="H130" s="147"/>
      <c r="I130" s="48"/>
    </row>
    <row r="131" spans="1:9" ht="18.75" x14ac:dyDescent="0.3">
      <c r="A131" s="146"/>
      <c r="B131" s="146"/>
      <c r="C131" s="147"/>
      <c r="D131" s="147"/>
      <c r="E131" s="147"/>
      <c r="F131" s="151"/>
      <c r="G131" s="147"/>
      <c r="H131" s="147"/>
      <c r="I131" s="48"/>
    </row>
    <row r="132" spans="1:9" ht="18.75" x14ac:dyDescent="0.3">
      <c r="A132" s="146"/>
      <c r="B132" s="146"/>
      <c r="C132" s="147"/>
      <c r="D132" s="147"/>
      <c r="E132" s="147"/>
      <c r="F132" s="151"/>
      <c r="G132" s="147"/>
      <c r="H132" s="147"/>
      <c r="I132" s="48"/>
    </row>
    <row r="133" spans="1:9" ht="18.75" x14ac:dyDescent="0.3">
      <c r="A133" s="146"/>
      <c r="B133" s="146"/>
      <c r="C133" s="147"/>
      <c r="D133" s="147"/>
      <c r="E133" s="147"/>
      <c r="F133" s="151"/>
      <c r="G133" s="147"/>
      <c r="H133" s="147"/>
      <c r="I133" s="4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11079545454545454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06" zoomScale="55" zoomScaleNormal="40" zoomScalePageLayoutView="55" workbookViewId="0">
      <selection activeCell="C124" sqref="C124:E124"/>
    </sheetView>
  </sheetViews>
  <sheetFormatPr defaultColWidth="9.140625" defaultRowHeight="13.5" x14ac:dyDescent="0.25"/>
  <cols>
    <col min="1" max="1" width="55.42578125" style="234" customWidth="1"/>
    <col min="2" max="2" width="33.7109375" style="234" customWidth="1"/>
    <col min="3" max="3" width="42.28515625" style="234" customWidth="1"/>
    <col min="4" max="4" width="30.5703125" style="234" customWidth="1"/>
    <col min="5" max="5" width="39.85546875" style="234" customWidth="1"/>
    <col min="6" max="6" width="30.7109375" style="234" customWidth="1"/>
    <col min="7" max="7" width="39.85546875" style="234" customWidth="1"/>
    <col min="8" max="8" width="30" style="234" customWidth="1"/>
    <col min="9" max="9" width="30.28515625" style="234" hidden="1" customWidth="1"/>
    <col min="10" max="10" width="30.42578125" style="234" customWidth="1"/>
    <col min="11" max="11" width="21.28515625" style="234" customWidth="1"/>
    <col min="12" max="12" width="9.140625" style="234"/>
    <col min="13" max="16384" width="9.140625" style="270"/>
  </cols>
  <sheetData>
    <row r="1" spans="1:9" ht="18.75" customHeight="1" x14ac:dyDescent="0.25">
      <c r="A1" s="520" t="s">
        <v>44</v>
      </c>
      <c r="B1" s="520"/>
      <c r="C1" s="520"/>
      <c r="D1" s="520"/>
      <c r="E1" s="520"/>
      <c r="F1" s="520"/>
      <c r="G1" s="520"/>
      <c r="H1" s="520"/>
      <c r="I1" s="520"/>
    </row>
    <row r="2" spans="1:9" ht="18.75" customHeight="1" x14ac:dyDescent="0.25">
      <c r="A2" s="520"/>
      <c r="B2" s="520"/>
      <c r="C2" s="520"/>
      <c r="D2" s="520"/>
      <c r="E2" s="520"/>
      <c r="F2" s="520"/>
      <c r="G2" s="520"/>
      <c r="H2" s="520"/>
      <c r="I2" s="520"/>
    </row>
    <row r="3" spans="1:9" ht="18.75" customHeight="1" x14ac:dyDescent="0.25">
      <c r="A3" s="520"/>
      <c r="B3" s="520"/>
      <c r="C3" s="520"/>
      <c r="D3" s="520"/>
      <c r="E3" s="520"/>
      <c r="F3" s="520"/>
      <c r="G3" s="520"/>
      <c r="H3" s="520"/>
      <c r="I3" s="520"/>
    </row>
    <row r="4" spans="1:9" ht="18.75" customHeight="1" x14ac:dyDescent="0.25">
      <c r="A4" s="520"/>
      <c r="B4" s="520"/>
      <c r="C4" s="520"/>
      <c r="D4" s="520"/>
      <c r="E4" s="520"/>
      <c r="F4" s="520"/>
      <c r="G4" s="520"/>
      <c r="H4" s="520"/>
      <c r="I4" s="520"/>
    </row>
    <row r="5" spans="1:9" ht="18.75" customHeight="1" x14ac:dyDescent="0.25">
      <c r="A5" s="520"/>
      <c r="B5" s="520"/>
      <c r="C5" s="520"/>
      <c r="D5" s="520"/>
      <c r="E5" s="520"/>
      <c r="F5" s="520"/>
      <c r="G5" s="520"/>
      <c r="H5" s="520"/>
      <c r="I5" s="520"/>
    </row>
    <row r="6" spans="1:9" ht="18.75" customHeight="1" x14ac:dyDescent="0.25">
      <c r="A6" s="520"/>
      <c r="B6" s="520"/>
      <c r="C6" s="520"/>
      <c r="D6" s="520"/>
      <c r="E6" s="520"/>
      <c r="F6" s="520"/>
      <c r="G6" s="520"/>
      <c r="H6" s="520"/>
      <c r="I6" s="520"/>
    </row>
    <row r="7" spans="1:9" ht="18.75" customHeight="1" x14ac:dyDescent="0.25">
      <c r="A7" s="520"/>
      <c r="B7" s="520"/>
      <c r="C7" s="520"/>
      <c r="D7" s="520"/>
      <c r="E7" s="520"/>
      <c r="F7" s="520"/>
      <c r="G7" s="520"/>
      <c r="H7" s="520"/>
      <c r="I7" s="520"/>
    </row>
    <row r="8" spans="1:9" x14ac:dyDescent="0.25">
      <c r="A8" s="521" t="s">
        <v>45</v>
      </c>
      <c r="B8" s="521"/>
      <c r="C8" s="521"/>
      <c r="D8" s="521"/>
      <c r="E8" s="521"/>
      <c r="F8" s="521"/>
      <c r="G8" s="521"/>
      <c r="H8" s="521"/>
      <c r="I8" s="521"/>
    </row>
    <row r="9" spans="1:9" x14ac:dyDescent="0.25">
      <c r="A9" s="521"/>
      <c r="B9" s="521"/>
      <c r="C9" s="521"/>
      <c r="D9" s="521"/>
      <c r="E9" s="521"/>
      <c r="F9" s="521"/>
      <c r="G9" s="521"/>
      <c r="H9" s="521"/>
      <c r="I9" s="521"/>
    </row>
    <row r="10" spans="1:9" x14ac:dyDescent="0.25">
      <c r="A10" s="521"/>
      <c r="B10" s="521"/>
      <c r="C10" s="521"/>
      <c r="D10" s="521"/>
      <c r="E10" s="521"/>
      <c r="F10" s="521"/>
      <c r="G10" s="521"/>
      <c r="H10" s="521"/>
      <c r="I10" s="521"/>
    </row>
    <row r="11" spans="1:9" x14ac:dyDescent="0.25">
      <c r="A11" s="521"/>
      <c r="B11" s="521"/>
      <c r="C11" s="521"/>
      <c r="D11" s="521"/>
      <c r="E11" s="521"/>
      <c r="F11" s="521"/>
      <c r="G11" s="521"/>
      <c r="H11" s="521"/>
      <c r="I11" s="521"/>
    </row>
    <row r="12" spans="1:9" x14ac:dyDescent="0.25">
      <c r="A12" s="521"/>
      <c r="B12" s="521"/>
      <c r="C12" s="521"/>
      <c r="D12" s="521"/>
      <c r="E12" s="521"/>
      <c r="F12" s="521"/>
      <c r="G12" s="521"/>
      <c r="H12" s="521"/>
      <c r="I12" s="521"/>
    </row>
    <row r="13" spans="1:9" x14ac:dyDescent="0.25">
      <c r="A13" s="521"/>
      <c r="B13" s="521"/>
      <c r="C13" s="521"/>
      <c r="D13" s="521"/>
      <c r="E13" s="521"/>
      <c r="F13" s="521"/>
      <c r="G13" s="521"/>
      <c r="H13" s="521"/>
      <c r="I13" s="521"/>
    </row>
    <row r="14" spans="1:9" x14ac:dyDescent="0.25">
      <c r="A14" s="521"/>
      <c r="B14" s="521"/>
      <c r="C14" s="521"/>
      <c r="D14" s="521"/>
      <c r="E14" s="521"/>
      <c r="F14" s="521"/>
      <c r="G14" s="521"/>
      <c r="H14" s="521"/>
      <c r="I14" s="521"/>
    </row>
    <row r="15" spans="1:9" ht="19.5" customHeight="1" thickBot="1" x14ac:dyDescent="0.35">
      <c r="A15" s="277"/>
    </row>
    <row r="16" spans="1:9" ht="19.5" customHeight="1" thickBot="1" x14ac:dyDescent="0.35">
      <c r="A16" s="522" t="s">
        <v>30</v>
      </c>
      <c r="B16" s="523"/>
      <c r="C16" s="523"/>
      <c r="D16" s="523"/>
      <c r="E16" s="523"/>
      <c r="F16" s="523"/>
      <c r="G16" s="523"/>
      <c r="H16" s="524"/>
    </row>
    <row r="17" spans="1:14" ht="20.25" customHeight="1" x14ac:dyDescent="0.25">
      <c r="A17" s="525" t="s">
        <v>46</v>
      </c>
      <c r="B17" s="525"/>
      <c r="C17" s="525"/>
      <c r="D17" s="525"/>
      <c r="E17" s="525"/>
      <c r="F17" s="525"/>
      <c r="G17" s="525"/>
      <c r="H17" s="525"/>
    </row>
    <row r="18" spans="1:14" ht="26.25" customHeight="1" x14ac:dyDescent="0.4">
      <c r="A18" s="278" t="s">
        <v>32</v>
      </c>
      <c r="B18" s="451" t="s">
        <v>5</v>
      </c>
      <c r="C18" s="451"/>
      <c r="D18" s="279"/>
      <c r="E18" s="280"/>
      <c r="F18" s="281"/>
      <c r="G18" s="281"/>
      <c r="H18" s="281"/>
    </row>
    <row r="19" spans="1:14" ht="26.25" customHeight="1" x14ac:dyDescent="0.4">
      <c r="A19" s="278" t="s">
        <v>33</v>
      </c>
      <c r="B19" s="282" t="s">
        <v>7</v>
      </c>
      <c r="C19" s="281">
        <v>29</v>
      </c>
      <c r="D19" s="281"/>
      <c r="E19" s="281"/>
      <c r="F19" s="281"/>
      <c r="G19" s="281"/>
      <c r="H19" s="281"/>
    </row>
    <row r="20" spans="1:14" ht="26.25" customHeight="1" x14ac:dyDescent="0.4">
      <c r="A20" s="278" t="s">
        <v>34</v>
      </c>
      <c r="B20" s="517" t="s">
        <v>124</v>
      </c>
      <c r="C20" s="517"/>
      <c r="D20" s="281"/>
      <c r="E20" s="281"/>
      <c r="F20" s="281"/>
      <c r="G20" s="281"/>
      <c r="H20" s="281"/>
    </row>
    <row r="21" spans="1:14" ht="26.25" customHeight="1" x14ac:dyDescent="0.4">
      <c r="A21" s="278" t="s">
        <v>35</v>
      </c>
      <c r="B21" s="517" t="s">
        <v>127</v>
      </c>
      <c r="C21" s="517"/>
      <c r="D21" s="517"/>
      <c r="E21" s="517"/>
      <c r="F21" s="517"/>
      <c r="G21" s="517"/>
      <c r="H21" s="517"/>
      <c r="I21" s="283"/>
    </row>
    <row r="22" spans="1:14" ht="26.25" customHeight="1" x14ac:dyDescent="0.4">
      <c r="A22" s="278" t="s">
        <v>36</v>
      </c>
      <c r="B22" s="284" t="s">
        <v>125</v>
      </c>
      <c r="C22" s="281"/>
      <c r="D22" s="281"/>
      <c r="E22" s="281"/>
      <c r="F22" s="281"/>
      <c r="G22" s="281"/>
      <c r="H22" s="281"/>
    </row>
    <row r="23" spans="1:14" ht="26.25" customHeight="1" x14ac:dyDescent="0.4">
      <c r="A23" s="278" t="s">
        <v>37</v>
      </c>
      <c r="B23" s="284"/>
      <c r="C23" s="281"/>
      <c r="D23" s="281"/>
      <c r="E23" s="281"/>
      <c r="F23" s="281"/>
      <c r="G23" s="281"/>
      <c r="H23" s="281"/>
    </row>
    <row r="24" spans="1:14" ht="18.75" x14ac:dyDescent="0.3">
      <c r="A24" s="278"/>
      <c r="B24" s="285"/>
    </row>
    <row r="25" spans="1:14" ht="18.75" x14ac:dyDescent="0.3">
      <c r="A25" s="286" t="s">
        <v>1</v>
      </c>
      <c r="B25" s="285"/>
    </row>
    <row r="26" spans="1:14" ht="26.25" customHeight="1" x14ac:dyDescent="0.4">
      <c r="A26" s="287" t="s">
        <v>4</v>
      </c>
      <c r="B26" s="518" t="s">
        <v>124</v>
      </c>
      <c r="C26" s="518"/>
    </row>
    <row r="27" spans="1:14" ht="26.25" customHeight="1" x14ac:dyDescent="0.4">
      <c r="A27" s="288" t="s">
        <v>47</v>
      </c>
      <c r="B27" s="519" t="s">
        <v>128</v>
      </c>
      <c r="C27" s="519"/>
    </row>
    <row r="28" spans="1:14" ht="27" customHeight="1" thickBot="1" x14ac:dyDescent="0.45">
      <c r="A28" s="288" t="s">
        <v>6</v>
      </c>
      <c r="B28" s="289">
        <v>98.57</v>
      </c>
    </row>
    <row r="29" spans="1:14" s="244" customFormat="1" ht="27" customHeight="1" thickBot="1" x14ac:dyDescent="0.45">
      <c r="A29" s="288" t="s">
        <v>48</v>
      </c>
      <c r="B29" s="290">
        <v>0</v>
      </c>
      <c r="C29" s="500" t="s">
        <v>49</v>
      </c>
      <c r="D29" s="501"/>
      <c r="E29" s="501"/>
      <c r="F29" s="501"/>
      <c r="G29" s="502"/>
      <c r="I29" s="291"/>
      <c r="J29" s="291"/>
      <c r="K29" s="291"/>
      <c r="L29" s="291"/>
    </row>
    <row r="30" spans="1:14" s="244" customFormat="1" ht="19.5" customHeight="1" thickBot="1" x14ac:dyDescent="0.35">
      <c r="A30" s="288" t="s">
        <v>50</v>
      </c>
      <c r="B30" s="292">
        <f>B28-B29</f>
        <v>98.57</v>
      </c>
      <c r="C30" s="293"/>
      <c r="D30" s="293"/>
      <c r="E30" s="293"/>
      <c r="F30" s="293"/>
      <c r="G30" s="294"/>
      <c r="I30" s="291"/>
      <c r="J30" s="291"/>
      <c r="K30" s="291"/>
      <c r="L30" s="291"/>
    </row>
    <row r="31" spans="1:14" s="244" customFormat="1" ht="27" customHeight="1" thickBot="1" x14ac:dyDescent="0.45">
      <c r="A31" s="288" t="s">
        <v>51</v>
      </c>
      <c r="B31" s="295">
        <v>1</v>
      </c>
      <c r="C31" s="503" t="s">
        <v>52</v>
      </c>
      <c r="D31" s="504"/>
      <c r="E31" s="504"/>
      <c r="F31" s="504"/>
      <c r="G31" s="504"/>
      <c r="H31" s="505"/>
      <c r="I31" s="291"/>
      <c r="J31" s="291"/>
      <c r="K31" s="291"/>
      <c r="L31" s="291"/>
    </row>
    <row r="32" spans="1:14" s="244" customFormat="1" ht="27" customHeight="1" thickBot="1" x14ac:dyDescent="0.45">
      <c r="A32" s="288" t="s">
        <v>53</v>
      </c>
      <c r="B32" s="295">
        <v>1</v>
      </c>
      <c r="C32" s="503" t="s">
        <v>54</v>
      </c>
      <c r="D32" s="504"/>
      <c r="E32" s="504"/>
      <c r="F32" s="504"/>
      <c r="G32" s="504"/>
      <c r="H32" s="505"/>
      <c r="I32" s="291"/>
      <c r="J32" s="291"/>
      <c r="K32" s="291"/>
      <c r="L32" s="296"/>
      <c r="M32" s="296"/>
      <c r="N32" s="297"/>
    </row>
    <row r="33" spans="1:14" s="244" customFormat="1" ht="17.25" customHeight="1" x14ac:dyDescent="0.3">
      <c r="A33" s="288"/>
      <c r="B33" s="298"/>
      <c r="C33" s="299"/>
      <c r="D33" s="299"/>
      <c r="E33" s="299"/>
      <c r="F33" s="299"/>
      <c r="G33" s="299"/>
      <c r="H33" s="299"/>
      <c r="I33" s="291"/>
      <c r="J33" s="291"/>
      <c r="K33" s="291"/>
      <c r="L33" s="296"/>
      <c r="M33" s="296"/>
      <c r="N33" s="297"/>
    </row>
    <row r="34" spans="1:14" s="244" customFormat="1" ht="18.75" x14ac:dyDescent="0.3">
      <c r="A34" s="288" t="s">
        <v>55</v>
      </c>
      <c r="B34" s="300">
        <f>B31/B32</f>
        <v>1</v>
      </c>
      <c r="C34" s="277" t="s">
        <v>56</v>
      </c>
      <c r="D34" s="277"/>
      <c r="E34" s="277"/>
      <c r="F34" s="277"/>
      <c r="G34" s="277"/>
      <c r="I34" s="291"/>
      <c r="J34" s="291"/>
      <c r="K34" s="291"/>
      <c r="L34" s="296"/>
      <c r="M34" s="296"/>
      <c r="N34" s="297"/>
    </row>
    <row r="35" spans="1:14" s="244" customFormat="1" ht="19.5" customHeight="1" thickBot="1" x14ac:dyDescent="0.35">
      <c r="A35" s="288"/>
      <c r="B35" s="292"/>
      <c r="G35" s="277"/>
      <c r="I35" s="291"/>
      <c r="J35" s="291"/>
      <c r="K35" s="291"/>
      <c r="L35" s="296"/>
      <c r="M35" s="296"/>
      <c r="N35" s="297"/>
    </row>
    <row r="36" spans="1:14" s="244" customFormat="1" ht="27" customHeight="1" thickBot="1" x14ac:dyDescent="0.45">
      <c r="A36" s="301" t="s">
        <v>57</v>
      </c>
      <c r="B36" s="302">
        <v>50</v>
      </c>
      <c r="C36" s="277"/>
      <c r="D36" s="506" t="s">
        <v>58</v>
      </c>
      <c r="E36" s="516"/>
      <c r="F36" s="506" t="s">
        <v>59</v>
      </c>
      <c r="G36" s="507"/>
      <c r="J36" s="291"/>
      <c r="K36" s="291"/>
      <c r="L36" s="296"/>
      <c r="M36" s="296"/>
      <c r="N36" s="297"/>
    </row>
    <row r="37" spans="1:14" s="244" customFormat="1" ht="27" customHeight="1" thickBot="1" x14ac:dyDescent="0.45">
      <c r="A37" s="303" t="s">
        <v>60</v>
      </c>
      <c r="B37" s="304">
        <v>5</v>
      </c>
      <c r="C37" s="305" t="s">
        <v>61</v>
      </c>
      <c r="D37" s="306" t="s">
        <v>62</v>
      </c>
      <c r="E37" s="307" t="s">
        <v>63</v>
      </c>
      <c r="F37" s="306" t="s">
        <v>62</v>
      </c>
      <c r="G37" s="308" t="s">
        <v>63</v>
      </c>
      <c r="I37" s="309" t="s">
        <v>64</v>
      </c>
      <c r="J37" s="291"/>
      <c r="K37" s="291"/>
      <c r="L37" s="296"/>
      <c r="M37" s="296"/>
      <c r="N37" s="297"/>
    </row>
    <row r="38" spans="1:14" s="244" customFormat="1" ht="26.25" customHeight="1" x14ac:dyDescent="0.4">
      <c r="A38" s="303" t="s">
        <v>65</v>
      </c>
      <c r="B38" s="304">
        <v>50</v>
      </c>
      <c r="C38" s="310">
        <v>1</v>
      </c>
      <c r="D38" s="311">
        <v>23234276</v>
      </c>
      <c r="E38" s="312">
        <f>IF(ISBLANK(D38),"-",$D$48/$D$45*D38)</f>
        <v>24340506.248858891</v>
      </c>
      <c r="F38" s="311">
        <v>23955990</v>
      </c>
      <c r="G38" s="313">
        <f>IF(ISBLANK(F38),"-",$D$48/$F$45*F38)</f>
        <v>24148977.032938264</v>
      </c>
      <c r="I38" s="314"/>
      <c r="J38" s="291"/>
      <c r="K38" s="291"/>
      <c r="L38" s="296"/>
      <c r="M38" s="296"/>
      <c r="N38" s="297"/>
    </row>
    <row r="39" spans="1:14" s="244" customFormat="1" ht="26.25" customHeight="1" x14ac:dyDescent="0.4">
      <c r="A39" s="303" t="s">
        <v>66</v>
      </c>
      <c r="B39" s="304">
        <v>1</v>
      </c>
      <c r="C39" s="315">
        <v>2</v>
      </c>
      <c r="D39" s="316">
        <v>23215712</v>
      </c>
      <c r="E39" s="317">
        <f>IF(ISBLANK(D39),"-",$D$48/$D$45*D39)</f>
        <v>24321058.379770834</v>
      </c>
      <c r="F39" s="316">
        <v>23965216</v>
      </c>
      <c r="G39" s="318">
        <f>IF(ISBLANK(F39),"-",$D$48/$F$45*F39)</f>
        <v>24158277.356661305</v>
      </c>
      <c r="I39" s="490">
        <f>ABS((F43/D43*D42)-F42)/D42</f>
        <v>6.9508908107405436E-3</v>
      </c>
      <c r="J39" s="291"/>
      <c r="K39" s="291"/>
      <c r="L39" s="296"/>
      <c r="M39" s="296"/>
      <c r="N39" s="297"/>
    </row>
    <row r="40" spans="1:14" ht="26.25" customHeight="1" x14ac:dyDescent="0.4">
      <c r="A40" s="303" t="s">
        <v>67</v>
      </c>
      <c r="B40" s="304">
        <v>1</v>
      </c>
      <c r="C40" s="315">
        <v>3</v>
      </c>
      <c r="D40" s="316">
        <v>23232831</v>
      </c>
      <c r="E40" s="317">
        <f>IF(ISBLANK(D40),"-",$D$48/$D$45*D40)</f>
        <v>24338992.449525114</v>
      </c>
      <c r="F40" s="316">
        <v>24011608</v>
      </c>
      <c r="G40" s="318">
        <f>IF(ISBLANK(F40),"-",$D$48/$F$45*F40)</f>
        <v>24205043.085922007</v>
      </c>
      <c r="I40" s="490"/>
      <c r="L40" s="296"/>
      <c r="M40" s="296"/>
      <c r="N40" s="277"/>
    </row>
    <row r="41" spans="1:14" ht="27" customHeight="1" thickBot="1" x14ac:dyDescent="0.45">
      <c r="A41" s="303" t="s">
        <v>68</v>
      </c>
      <c r="B41" s="304">
        <v>1</v>
      </c>
      <c r="C41" s="319">
        <v>4</v>
      </c>
      <c r="D41" s="320"/>
      <c r="E41" s="321" t="str">
        <f>IF(ISBLANK(D41),"-",$D$48/$D$45*D41)</f>
        <v>-</v>
      </c>
      <c r="F41" s="320"/>
      <c r="G41" s="322" t="str">
        <f>IF(ISBLANK(F41),"-",$D$48/$F$45*F41)</f>
        <v>-</v>
      </c>
      <c r="I41" s="323"/>
      <c r="L41" s="296"/>
      <c r="M41" s="296"/>
      <c r="N41" s="277"/>
    </row>
    <row r="42" spans="1:14" ht="27" customHeight="1" thickBot="1" x14ac:dyDescent="0.45">
      <c r="A42" s="303" t="s">
        <v>69</v>
      </c>
      <c r="B42" s="304">
        <v>1</v>
      </c>
      <c r="C42" s="324" t="s">
        <v>70</v>
      </c>
      <c r="D42" s="325">
        <f>AVERAGE(D38:D41)</f>
        <v>23227606.333333332</v>
      </c>
      <c r="E42" s="326">
        <f>AVERAGE(E38:E41)</f>
        <v>24333519.026051614</v>
      </c>
      <c r="F42" s="325">
        <f>AVERAGE(F38:F41)</f>
        <v>23977604.666666668</v>
      </c>
      <c r="G42" s="327">
        <f>AVERAGE(G38:G41)</f>
        <v>24170765.825173859</v>
      </c>
      <c r="H42" s="268"/>
    </row>
    <row r="43" spans="1:14" ht="26.25" customHeight="1" x14ac:dyDescent="0.4">
      <c r="A43" s="303" t="s">
        <v>71</v>
      </c>
      <c r="B43" s="304">
        <v>1</v>
      </c>
      <c r="C43" s="328" t="s">
        <v>72</v>
      </c>
      <c r="D43" s="329">
        <v>24.21</v>
      </c>
      <c r="E43" s="277"/>
      <c r="F43" s="329">
        <v>25.16</v>
      </c>
      <c r="H43" s="268"/>
    </row>
    <row r="44" spans="1:14" ht="26.25" customHeight="1" x14ac:dyDescent="0.4">
      <c r="A44" s="303" t="s">
        <v>73</v>
      </c>
      <c r="B44" s="304">
        <v>1</v>
      </c>
      <c r="C44" s="330" t="s">
        <v>74</v>
      </c>
      <c r="D44" s="331">
        <f>D43*$B$34</f>
        <v>24.21</v>
      </c>
      <c r="E44" s="332"/>
      <c r="F44" s="331">
        <f>F43*$B$34</f>
        <v>25.16</v>
      </c>
      <c r="H44" s="268"/>
    </row>
    <row r="45" spans="1:14" ht="19.5" customHeight="1" thickBot="1" x14ac:dyDescent="0.35">
      <c r="A45" s="303" t="s">
        <v>75</v>
      </c>
      <c r="B45" s="315">
        <f>(B44/B43)*(B42/B41)*(B40/B39)*(B38/B37)*B36</f>
        <v>500</v>
      </c>
      <c r="C45" s="330" t="s">
        <v>76</v>
      </c>
      <c r="D45" s="333">
        <f>D44*$B$30/100</f>
        <v>23.863796999999998</v>
      </c>
      <c r="E45" s="334"/>
      <c r="F45" s="333">
        <f>F44*$B$30/100</f>
        <v>24.800211999999998</v>
      </c>
      <c r="H45" s="268"/>
    </row>
    <row r="46" spans="1:14" ht="19.5" customHeight="1" thickBot="1" x14ac:dyDescent="0.35">
      <c r="A46" s="491" t="s">
        <v>77</v>
      </c>
      <c r="B46" s="495"/>
      <c r="C46" s="330" t="s">
        <v>78</v>
      </c>
      <c r="D46" s="335">
        <f>D45/$B$45</f>
        <v>4.7727593999999998E-2</v>
      </c>
      <c r="E46" s="336"/>
      <c r="F46" s="337">
        <f>F45/$B$45</f>
        <v>4.9600423999999997E-2</v>
      </c>
      <c r="H46" s="268"/>
    </row>
    <row r="47" spans="1:14" ht="27" customHeight="1" thickBot="1" x14ac:dyDescent="0.45">
      <c r="A47" s="493"/>
      <c r="B47" s="496"/>
      <c r="C47" s="338" t="s">
        <v>79</v>
      </c>
      <c r="D47" s="339">
        <v>0.05</v>
      </c>
      <c r="E47" s="340"/>
      <c r="F47" s="336"/>
      <c r="H47" s="268"/>
    </row>
    <row r="48" spans="1:14" ht="18.75" x14ac:dyDescent="0.3">
      <c r="C48" s="341" t="s">
        <v>80</v>
      </c>
      <c r="D48" s="333">
        <f>D47*$B$45</f>
        <v>25</v>
      </c>
      <c r="F48" s="342"/>
      <c r="H48" s="268"/>
    </row>
    <row r="49" spans="1:12" ht="19.5" customHeight="1" thickBot="1" x14ac:dyDescent="0.35">
      <c r="C49" s="343" t="s">
        <v>81</v>
      </c>
      <c r="D49" s="344">
        <f>D48/B34</f>
        <v>25</v>
      </c>
      <c r="F49" s="342"/>
      <c r="H49" s="268"/>
    </row>
    <row r="50" spans="1:12" ht="26.25" x14ac:dyDescent="0.4">
      <c r="C50" s="301" t="s">
        <v>82</v>
      </c>
      <c r="D50" s="345">
        <f>AVERAGE(E38:E41,G38:G41)</f>
        <v>24252142.425612736</v>
      </c>
      <c r="E50" s="346"/>
      <c r="F50" s="347"/>
      <c r="H50" s="268"/>
    </row>
    <row r="51" spans="1:12" ht="18.75" x14ac:dyDescent="0.3">
      <c r="C51" s="303" t="s">
        <v>83</v>
      </c>
      <c r="D51" s="348">
        <f>STDEV(E38:E41,G38:G41)/D50</f>
        <v>3.7688654249605135E-3</v>
      </c>
      <c r="F51" s="347"/>
      <c r="H51" s="268"/>
    </row>
    <row r="52" spans="1:12" ht="19.5" customHeight="1" thickBot="1" x14ac:dyDescent="0.35">
      <c r="C52" s="349" t="s">
        <v>20</v>
      </c>
      <c r="D52" s="350">
        <f>COUNT(E38:E41,G38:G41)</f>
        <v>6</v>
      </c>
      <c r="F52" s="347"/>
    </row>
    <row r="54" spans="1:12" ht="18.75" x14ac:dyDescent="0.3">
      <c r="A54" s="351" t="s">
        <v>1</v>
      </c>
      <c r="B54" s="352" t="s">
        <v>84</v>
      </c>
    </row>
    <row r="55" spans="1:12" ht="18.75" x14ac:dyDescent="0.3">
      <c r="A55" s="277" t="s">
        <v>85</v>
      </c>
      <c r="B55" s="353" t="str">
        <f>B21</f>
        <v>Each film coated Tablet contains: ornidazole 500mg
Ornidazole 500 mg</v>
      </c>
    </row>
    <row r="56" spans="1:12" ht="26.25" customHeight="1" x14ac:dyDescent="0.4">
      <c r="A56" s="353" t="s">
        <v>86</v>
      </c>
      <c r="B56" s="354">
        <v>500</v>
      </c>
      <c r="C56" s="277" t="str">
        <f>B20</f>
        <v>Ornidazole</v>
      </c>
      <c r="H56" s="332"/>
    </row>
    <row r="57" spans="1:12" ht="18.75" x14ac:dyDescent="0.3">
      <c r="A57" s="353" t="s">
        <v>87</v>
      </c>
      <c r="B57" s="355">
        <f>Uniformity!C46</f>
        <v>1014.8174999999998</v>
      </c>
      <c r="H57" s="332"/>
    </row>
    <row r="58" spans="1:12" ht="19.5" customHeight="1" thickBot="1" x14ac:dyDescent="0.35">
      <c r="H58" s="332"/>
    </row>
    <row r="59" spans="1:12" s="244" customFormat="1" ht="27" customHeight="1" thickBot="1" x14ac:dyDescent="0.45">
      <c r="A59" s="301" t="s">
        <v>88</v>
      </c>
      <c r="B59" s="302">
        <v>200</v>
      </c>
      <c r="C59" s="277"/>
      <c r="D59" s="356" t="s">
        <v>89</v>
      </c>
      <c r="E59" s="357" t="s">
        <v>61</v>
      </c>
      <c r="F59" s="357" t="s">
        <v>62</v>
      </c>
      <c r="G59" s="357" t="s">
        <v>90</v>
      </c>
      <c r="H59" s="305" t="s">
        <v>91</v>
      </c>
      <c r="L59" s="291"/>
    </row>
    <row r="60" spans="1:12" s="244" customFormat="1" ht="26.25" customHeight="1" x14ac:dyDescent="0.4">
      <c r="A60" s="303" t="s">
        <v>92</v>
      </c>
      <c r="B60" s="304">
        <v>4</v>
      </c>
      <c r="C60" s="508" t="s">
        <v>93</v>
      </c>
      <c r="D60" s="476">
        <v>523.92999999999995</v>
      </c>
      <c r="E60" s="358">
        <v>1</v>
      </c>
      <c r="F60" s="359">
        <v>24289098</v>
      </c>
      <c r="G60" s="360">
        <f>IF(ISBLANK(F60),"-",(F60/$D$50*$D$47*$B$68)*($B$57/$D$60))</f>
        <v>484.97122019713117</v>
      </c>
      <c r="H60" s="361">
        <f t="shared" ref="H60:H71" si="0">IF(ISBLANK(F60),"-",G60/$B$56)</f>
        <v>0.96994244039426236</v>
      </c>
      <c r="L60" s="291"/>
    </row>
    <row r="61" spans="1:12" s="244" customFormat="1" ht="26.25" customHeight="1" x14ac:dyDescent="0.4">
      <c r="A61" s="303" t="s">
        <v>94</v>
      </c>
      <c r="B61" s="304">
        <v>100</v>
      </c>
      <c r="C61" s="509"/>
      <c r="D61" s="477"/>
      <c r="E61" s="362">
        <v>2</v>
      </c>
      <c r="F61" s="316">
        <v>24288925</v>
      </c>
      <c r="G61" s="363">
        <f>IF(ISBLANK(F61),"-",(F61/$D$50*$D$47*$B$68)*($B$57/$D$60))</f>
        <v>484.96776597165547</v>
      </c>
      <c r="H61" s="364">
        <f t="shared" si="0"/>
        <v>0.96993553194331095</v>
      </c>
      <c r="L61" s="291"/>
    </row>
    <row r="62" spans="1:12" s="244" customFormat="1" ht="26.25" customHeight="1" x14ac:dyDescent="0.4">
      <c r="A62" s="303" t="s">
        <v>95</v>
      </c>
      <c r="B62" s="304">
        <v>1</v>
      </c>
      <c r="C62" s="509"/>
      <c r="D62" s="477"/>
      <c r="E62" s="362">
        <v>3</v>
      </c>
      <c r="F62" s="365">
        <v>24299602</v>
      </c>
      <c r="G62" s="363">
        <f>IF(ISBLANK(F62),"-",(F62/$D$50*$D$47*$B$68)*($B$57/$D$60))</f>
        <v>485.18094958670969</v>
      </c>
      <c r="H62" s="364">
        <f t="shared" si="0"/>
        <v>0.97036189917341942</v>
      </c>
      <c r="L62" s="291"/>
    </row>
    <row r="63" spans="1:12" ht="27" customHeight="1" thickBot="1" x14ac:dyDescent="0.45">
      <c r="A63" s="303" t="s">
        <v>96</v>
      </c>
      <c r="B63" s="304">
        <v>1</v>
      </c>
      <c r="C63" s="510"/>
      <c r="D63" s="478"/>
      <c r="E63" s="366">
        <v>4</v>
      </c>
      <c r="F63" s="367"/>
      <c r="G63" s="363" t="str">
        <f>IF(ISBLANK(F63),"-",(F63/$D$50*$D$47*$B$68)*($B$57/$D$60))</f>
        <v>-</v>
      </c>
      <c r="H63" s="364" t="str">
        <f t="shared" si="0"/>
        <v>-</v>
      </c>
    </row>
    <row r="64" spans="1:12" ht="26.25" customHeight="1" x14ac:dyDescent="0.4">
      <c r="A64" s="303" t="s">
        <v>97</v>
      </c>
      <c r="B64" s="304">
        <v>1</v>
      </c>
      <c r="C64" s="508" t="s">
        <v>98</v>
      </c>
      <c r="D64" s="476">
        <v>485.8</v>
      </c>
      <c r="E64" s="358">
        <v>1</v>
      </c>
      <c r="F64" s="359">
        <v>23037147</v>
      </c>
      <c r="G64" s="368">
        <f>IF(ISBLANK(F64),"-",(F64/$D$50*$D$47*$B$68)*($B$57/$D$64))</f>
        <v>496.07692863565751</v>
      </c>
      <c r="H64" s="369">
        <f t="shared" si="0"/>
        <v>0.992153857271315</v>
      </c>
    </row>
    <row r="65" spans="1:8" ht="26.25" customHeight="1" x14ac:dyDescent="0.4">
      <c r="A65" s="303" t="s">
        <v>99</v>
      </c>
      <c r="B65" s="304">
        <v>1</v>
      </c>
      <c r="C65" s="509"/>
      <c r="D65" s="477"/>
      <c r="E65" s="362">
        <v>2</v>
      </c>
      <c r="F65" s="316">
        <v>23032330</v>
      </c>
      <c r="G65" s="370">
        <f>IF(ISBLANK(F65),"-",(F65/$D$50*$D$47*$B$68)*($B$57/$D$64))</f>
        <v>495.97320040206864</v>
      </c>
      <c r="H65" s="371">
        <f t="shared" si="0"/>
        <v>0.99194640080413732</v>
      </c>
    </row>
    <row r="66" spans="1:8" ht="26.25" customHeight="1" x14ac:dyDescent="0.4">
      <c r="A66" s="303" t="s">
        <v>100</v>
      </c>
      <c r="B66" s="304">
        <v>1</v>
      </c>
      <c r="C66" s="509"/>
      <c r="D66" s="477"/>
      <c r="E66" s="362">
        <v>3</v>
      </c>
      <c r="F66" s="316">
        <v>23136135</v>
      </c>
      <c r="G66" s="370">
        <f>IF(ISBLANK(F66),"-",(F66/$D$50*$D$47*$B$68)*($B$57/$D$64))</f>
        <v>498.2085147653022</v>
      </c>
      <c r="H66" s="371">
        <f t="shared" si="0"/>
        <v>0.9964170295306044</v>
      </c>
    </row>
    <row r="67" spans="1:8" ht="27" customHeight="1" thickBot="1" x14ac:dyDescent="0.45">
      <c r="A67" s="303" t="s">
        <v>101</v>
      </c>
      <c r="B67" s="304">
        <v>1</v>
      </c>
      <c r="C67" s="510"/>
      <c r="D67" s="478"/>
      <c r="E67" s="366">
        <v>4</v>
      </c>
      <c r="F67" s="367"/>
      <c r="G67" s="372" t="str">
        <f>IF(ISBLANK(F67),"-",(F67/$D$50*$D$47*$B$68)*($B$57/$D$64))</f>
        <v>-</v>
      </c>
      <c r="H67" s="373" t="str">
        <f t="shared" si="0"/>
        <v>-</v>
      </c>
    </row>
    <row r="68" spans="1:8" ht="26.25" customHeight="1" x14ac:dyDescent="0.4">
      <c r="A68" s="303" t="s">
        <v>102</v>
      </c>
      <c r="B68" s="374">
        <f>(B67/B66)*(B65/B64)*(B63/B62)*(B61/B60)*B59</f>
        <v>5000</v>
      </c>
      <c r="C68" s="508" t="s">
        <v>103</v>
      </c>
      <c r="D68" s="476">
        <v>519.36</v>
      </c>
      <c r="E68" s="358">
        <v>1</v>
      </c>
      <c r="F68" s="359">
        <v>24692174</v>
      </c>
      <c r="G68" s="368">
        <f>IF(ISBLANK(F68),"-",(F68/$D$50*$D$47*$B$68)*($B$57/$D$68))</f>
        <v>497.35750640397794</v>
      </c>
      <c r="H68" s="364">
        <f t="shared" si="0"/>
        <v>0.99471501280795582</v>
      </c>
    </row>
    <row r="69" spans="1:8" ht="27" customHeight="1" thickBot="1" x14ac:dyDescent="0.45">
      <c r="A69" s="349" t="s">
        <v>104</v>
      </c>
      <c r="B69" s="375">
        <f>(D47*B68)/B56*B57</f>
        <v>507.40874999999988</v>
      </c>
      <c r="C69" s="509"/>
      <c r="D69" s="477"/>
      <c r="E69" s="362">
        <v>2</v>
      </c>
      <c r="F69" s="316">
        <v>24681294</v>
      </c>
      <c r="G69" s="370">
        <f>IF(ISBLANK(F69),"-",(F69/$D$50*$D$47*$B$68)*($B$57/$D$68))</f>
        <v>497.13835803455225</v>
      </c>
      <c r="H69" s="364">
        <f t="shared" si="0"/>
        <v>0.9942767160691045</v>
      </c>
    </row>
    <row r="70" spans="1:8" ht="26.25" customHeight="1" x14ac:dyDescent="0.4">
      <c r="A70" s="512" t="s">
        <v>77</v>
      </c>
      <c r="B70" s="513"/>
      <c r="C70" s="509"/>
      <c r="D70" s="477"/>
      <c r="E70" s="362">
        <v>3</v>
      </c>
      <c r="F70" s="316">
        <v>24824320</v>
      </c>
      <c r="G70" s="370">
        <f>IF(ISBLANK(F70),"-",(F70/$D$50*$D$47*$B$68)*($B$57/$D$68))</f>
        <v>500.01923254608516</v>
      </c>
      <c r="H70" s="364">
        <f t="shared" si="0"/>
        <v>1.0000384650921703</v>
      </c>
    </row>
    <row r="71" spans="1:8" ht="27" customHeight="1" thickBot="1" x14ac:dyDescent="0.45">
      <c r="A71" s="514"/>
      <c r="B71" s="515"/>
      <c r="C71" s="511"/>
      <c r="D71" s="478"/>
      <c r="E71" s="366">
        <v>4</v>
      </c>
      <c r="F71" s="367"/>
      <c r="G71" s="372" t="str">
        <f>IF(ISBLANK(F71),"-",(F71/$D$50*$D$47*$B$68)*($B$57/$D$68))</f>
        <v>-</v>
      </c>
      <c r="H71" s="376" t="str">
        <f t="shared" si="0"/>
        <v>-</v>
      </c>
    </row>
    <row r="72" spans="1:8" ht="26.25" customHeight="1" x14ac:dyDescent="0.4">
      <c r="A72" s="332"/>
      <c r="B72" s="332"/>
      <c r="C72" s="332"/>
      <c r="D72" s="332"/>
      <c r="E72" s="332"/>
      <c r="F72" s="377" t="s">
        <v>70</v>
      </c>
      <c r="G72" s="378">
        <f>AVERAGE(G60:G71)</f>
        <v>493.32151961590444</v>
      </c>
      <c r="H72" s="379">
        <f>AVERAGE(H60:H71)</f>
        <v>0.98664303923180896</v>
      </c>
    </row>
    <row r="73" spans="1:8" ht="26.25" customHeight="1" x14ac:dyDescent="0.4">
      <c r="C73" s="332"/>
      <c r="D73" s="332"/>
      <c r="E73" s="332"/>
      <c r="F73" s="380" t="s">
        <v>83</v>
      </c>
      <c r="G73" s="381">
        <f>STDEV(G60:G71)/G72</f>
        <v>1.2820447636671875E-2</v>
      </c>
      <c r="H73" s="381">
        <f>STDEV(H60:H71)/H72</f>
        <v>1.2820447636671862E-2</v>
      </c>
    </row>
    <row r="74" spans="1:8" ht="27" customHeight="1" thickBot="1" x14ac:dyDescent="0.45">
      <c r="A74" s="332"/>
      <c r="B74" s="332"/>
      <c r="C74" s="332"/>
      <c r="D74" s="332"/>
      <c r="E74" s="334"/>
      <c r="F74" s="382" t="s">
        <v>20</v>
      </c>
      <c r="G74" s="383">
        <f>COUNT(G60:G71)</f>
        <v>9</v>
      </c>
      <c r="H74" s="383">
        <f>COUNT(H60:H71)</f>
        <v>9</v>
      </c>
    </row>
    <row r="76" spans="1:8" ht="26.25" customHeight="1" x14ac:dyDescent="0.4">
      <c r="A76" s="287" t="s">
        <v>105</v>
      </c>
      <c r="B76" s="288" t="s">
        <v>106</v>
      </c>
      <c r="C76" s="497" t="str">
        <f>B20</f>
        <v>Ornidazole</v>
      </c>
      <c r="D76" s="497"/>
      <c r="E76" s="277" t="s">
        <v>107</v>
      </c>
      <c r="F76" s="277"/>
      <c r="G76" s="384">
        <f>H72</f>
        <v>0.98664303923180896</v>
      </c>
      <c r="H76" s="292"/>
    </row>
    <row r="77" spans="1:8" ht="18.75" x14ac:dyDescent="0.3">
      <c r="A77" s="286" t="s">
        <v>108</v>
      </c>
      <c r="B77" s="286" t="s">
        <v>109</v>
      </c>
    </row>
    <row r="78" spans="1:8" ht="18.75" x14ac:dyDescent="0.3">
      <c r="A78" s="286"/>
      <c r="B78" s="286"/>
    </row>
    <row r="79" spans="1:8" ht="26.25" customHeight="1" x14ac:dyDescent="0.4">
      <c r="A79" s="287" t="s">
        <v>4</v>
      </c>
      <c r="B79" s="499" t="str">
        <f>B26</f>
        <v>Ornidazole</v>
      </c>
      <c r="C79" s="499"/>
    </row>
    <row r="80" spans="1:8" ht="26.25" customHeight="1" x14ac:dyDescent="0.4">
      <c r="A80" s="288" t="s">
        <v>47</v>
      </c>
      <c r="B80" s="499" t="str">
        <f>B27</f>
        <v>O17 3</v>
      </c>
      <c r="C80" s="499"/>
    </row>
    <row r="81" spans="1:12" ht="27" customHeight="1" thickBot="1" x14ac:dyDescent="0.45">
      <c r="A81" s="288" t="s">
        <v>6</v>
      </c>
      <c r="B81" s="289">
        <f>B28</f>
        <v>98.57</v>
      </c>
    </row>
    <row r="82" spans="1:12" s="244" customFormat="1" ht="27" customHeight="1" thickBot="1" x14ac:dyDescent="0.45">
      <c r="A82" s="288" t="s">
        <v>48</v>
      </c>
      <c r="B82" s="290">
        <v>0</v>
      </c>
      <c r="C82" s="500" t="s">
        <v>49</v>
      </c>
      <c r="D82" s="501"/>
      <c r="E82" s="501"/>
      <c r="F82" s="501"/>
      <c r="G82" s="502"/>
      <c r="I82" s="291"/>
      <c r="J82" s="291"/>
      <c r="K82" s="291"/>
      <c r="L82" s="291"/>
    </row>
    <row r="83" spans="1:12" s="244" customFormat="1" ht="19.5" customHeight="1" thickBot="1" x14ac:dyDescent="0.35">
      <c r="A83" s="288" t="s">
        <v>50</v>
      </c>
      <c r="B83" s="292">
        <f>B81-B82</f>
        <v>98.57</v>
      </c>
      <c r="C83" s="293"/>
      <c r="D83" s="293"/>
      <c r="E83" s="293"/>
      <c r="F83" s="293"/>
      <c r="G83" s="294"/>
      <c r="I83" s="291"/>
      <c r="J83" s="291"/>
      <c r="K83" s="291"/>
      <c r="L83" s="291"/>
    </row>
    <row r="84" spans="1:12" s="244" customFormat="1" ht="27" customHeight="1" thickBot="1" x14ac:dyDescent="0.45">
      <c r="A84" s="288" t="s">
        <v>51</v>
      </c>
      <c r="B84" s="295">
        <v>1</v>
      </c>
      <c r="C84" s="503" t="s">
        <v>110</v>
      </c>
      <c r="D84" s="504"/>
      <c r="E84" s="504"/>
      <c r="F84" s="504"/>
      <c r="G84" s="504"/>
      <c r="H84" s="505"/>
      <c r="I84" s="291"/>
      <c r="J84" s="291"/>
      <c r="K84" s="291"/>
      <c r="L84" s="291"/>
    </row>
    <row r="85" spans="1:12" s="244" customFormat="1" ht="27" customHeight="1" thickBot="1" x14ac:dyDescent="0.45">
      <c r="A85" s="288" t="s">
        <v>53</v>
      </c>
      <c r="B85" s="295">
        <v>1</v>
      </c>
      <c r="C85" s="503" t="s">
        <v>111</v>
      </c>
      <c r="D85" s="504"/>
      <c r="E85" s="504"/>
      <c r="F85" s="504"/>
      <c r="G85" s="504"/>
      <c r="H85" s="505"/>
      <c r="I85" s="291"/>
      <c r="J85" s="291"/>
      <c r="K85" s="291"/>
      <c r="L85" s="291"/>
    </row>
    <row r="86" spans="1:12" s="244" customFormat="1" ht="18.75" x14ac:dyDescent="0.3">
      <c r="A86" s="288"/>
      <c r="B86" s="298"/>
      <c r="C86" s="299"/>
      <c r="D86" s="299"/>
      <c r="E86" s="299"/>
      <c r="F86" s="299"/>
      <c r="G86" s="299"/>
      <c r="H86" s="299"/>
      <c r="I86" s="291"/>
      <c r="J86" s="291"/>
      <c r="K86" s="291"/>
      <c r="L86" s="291"/>
    </row>
    <row r="87" spans="1:12" s="244" customFormat="1" ht="18.75" x14ac:dyDescent="0.3">
      <c r="A87" s="288" t="s">
        <v>55</v>
      </c>
      <c r="B87" s="300">
        <f>B84/B85</f>
        <v>1</v>
      </c>
      <c r="C87" s="277" t="s">
        <v>56</v>
      </c>
      <c r="D87" s="277"/>
      <c r="E87" s="277"/>
      <c r="F87" s="277"/>
      <c r="G87" s="277"/>
      <c r="I87" s="291"/>
      <c r="J87" s="291"/>
      <c r="K87" s="291"/>
      <c r="L87" s="291"/>
    </row>
    <row r="88" spans="1:12" ht="19.5" customHeight="1" thickBot="1" x14ac:dyDescent="0.35">
      <c r="A88" s="286"/>
      <c r="B88" s="286"/>
    </row>
    <row r="89" spans="1:12" ht="27" customHeight="1" thickBot="1" x14ac:dyDescent="0.45">
      <c r="A89" s="301" t="s">
        <v>57</v>
      </c>
      <c r="B89" s="302">
        <v>50</v>
      </c>
      <c r="D89" s="385" t="s">
        <v>58</v>
      </c>
      <c r="E89" s="386"/>
      <c r="F89" s="506" t="s">
        <v>59</v>
      </c>
      <c r="G89" s="507"/>
    </row>
    <row r="90" spans="1:12" ht="27" customHeight="1" thickBot="1" x14ac:dyDescent="0.45">
      <c r="A90" s="303" t="s">
        <v>60</v>
      </c>
      <c r="B90" s="304">
        <v>5</v>
      </c>
      <c r="C90" s="387" t="s">
        <v>61</v>
      </c>
      <c r="D90" s="306" t="s">
        <v>62</v>
      </c>
      <c r="E90" s="307" t="s">
        <v>63</v>
      </c>
      <c r="F90" s="306" t="s">
        <v>62</v>
      </c>
      <c r="G90" s="388" t="s">
        <v>63</v>
      </c>
      <c r="I90" s="309" t="s">
        <v>64</v>
      </c>
    </row>
    <row r="91" spans="1:12" ht="26.25" customHeight="1" x14ac:dyDescent="0.4">
      <c r="A91" s="303" t="s">
        <v>65</v>
      </c>
      <c r="B91" s="304">
        <v>50</v>
      </c>
      <c r="C91" s="389">
        <v>1</v>
      </c>
      <c r="D91" s="311">
        <v>23234276</v>
      </c>
      <c r="E91" s="312">
        <f>IF(ISBLANK(D91),"-",$D$101/$D$98*D91)</f>
        <v>27045006.943176545</v>
      </c>
      <c r="F91" s="311">
        <v>23955990</v>
      </c>
      <c r="G91" s="313">
        <f>IF(ISBLANK(F91),"-",$D$101/$F$98*F91)</f>
        <v>26832196.703264743</v>
      </c>
      <c r="I91" s="314"/>
    </row>
    <row r="92" spans="1:12" ht="26.25" customHeight="1" x14ac:dyDescent="0.4">
      <c r="A92" s="303" t="s">
        <v>66</v>
      </c>
      <c r="B92" s="304">
        <v>1</v>
      </c>
      <c r="C92" s="332">
        <v>2</v>
      </c>
      <c r="D92" s="316">
        <v>23215712</v>
      </c>
      <c r="E92" s="317">
        <f>IF(ISBLANK(D92),"-",$D$101/$D$98*D92)</f>
        <v>27023398.199745368</v>
      </c>
      <c r="F92" s="316">
        <v>23965216</v>
      </c>
      <c r="G92" s="318">
        <f>IF(ISBLANK(F92),"-",$D$101/$F$98*F92)</f>
        <v>26842530.39629034</v>
      </c>
      <c r="I92" s="490">
        <f>ABS((F96/D96*D95)-F95)/D95</f>
        <v>6.9508908107405436E-3</v>
      </c>
    </row>
    <row r="93" spans="1:12" ht="26.25" customHeight="1" x14ac:dyDescent="0.4">
      <c r="A93" s="303" t="s">
        <v>67</v>
      </c>
      <c r="B93" s="304">
        <v>1</v>
      </c>
      <c r="C93" s="332">
        <v>3</v>
      </c>
      <c r="D93" s="316">
        <v>23232831</v>
      </c>
      <c r="E93" s="317">
        <f>IF(ISBLANK(D93),"-",$D$101/$D$98*D93)</f>
        <v>27043324.94391679</v>
      </c>
      <c r="F93" s="316">
        <v>24011608</v>
      </c>
      <c r="G93" s="318">
        <f>IF(ISBLANK(F93),"-",$D$101/$F$98*F93)</f>
        <v>26894492.317691121</v>
      </c>
      <c r="I93" s="490"/>
    </row>
    <row r="94" spans="1:12" ht="27" customHeight="1" thickBot="1" x14ac:dyDescent="0.45">
      <c r="A94" s="303" t="s">
        <v>68</v>
      </c>
      <c r="B94" s="304">
        <v>1</v>
      </c>
      <c r="C94" s="390">
        <v>4</v>
      </c>
      <c r="D94" s="320"/>
      <c r="E94" s="321" t="str">
        <f>IF(ISBLANK(D94),"-",$D$101/$D$98*D94)</f>
        <v>-</v>
      </c>
      <c r="F94" s="391"/>
      <c r="G94" s="322" t="str">
        <f>IF(ISBLANK(F94),"-",$D$101/$F$98*F94)</f>
        <v>-</v>
      </c>
      <c r="I94" s="323"/>
    </row>
    <row r="95" spans="1:12" ht="27" customHeight="1" thickBot="1" x14ac:dyDescent="0.45">
      <c r="A95" s="303" t="s">
        <v>69</v>
      </c>
      <c r="B95" s="304">
        <v>1</v>
      </c>
      <c r="C95" s="288" t="s">
        <v>70</v>
      </c>
      <c r="D95" s="392">
        <f>AVERAGE(D91:D94)</f>
        <v>23227606.333333332</v>
      </c>
      <c r="E95" s="326">
        <f>AVERAGE(E91:E94)</f>
        <v>27037243.362279564</v>
      </c>
      <c r="F95" s="393">
        <f>AVERAGE(F91:F94)</f>
        <v>23977604.666666668</v>
      </c>
      <c r="G95" s="394">
        <f>AVERAGE(G91:G94)</f>
        <v>26856406.472415403</v>
      </c>
    </row>
    <row r="96" spans="1:12" ht="26.25" customHeight="1" x14ac:dyDescent="0.4">
      <c r="A96" s="303" t="s">
        <v>71</v>
      </c>
      <c r="B96" s="289">
        <v>1</v>
      </c>
      <c r="C96" s="395" t="s">
        <v>112</v>
      </c>
      <c r="D96" s="396">
        <v>24.21</v>
      </c>
      <c r="E96" s="277"/>
      <c r="F96" s="329">
        <v>25.16</v>
      </c>
    </row>
    <row r="97" spans="1:10" ht="26.25" customHeight="1" x14ac:dyDescent="0.4">
      <c r="A97" s="303" t="s">
        <v>73</v>
      </c>
      <c r="B97" s="289">
        <v>1</v>
      </c>
      <c r="C97" s="397" t="s">
        <v>113</v>
      </c>
      <c r="D97" s="398">
        <f>D96*$B$87</f>
        <v>24.21</v>
      </c>
      <c r="E97" s="332"/>
      <c r="F97" s="331">
        <f>F96*$B$87</f>
        <v>25.16</v>
      </c>
    </row>
    <row r="98" spans="1:10" ht="19.5" customHeight="1" thickBot="1" x14ac:dyDescent="0.35">
      <c r="A98" s="303" t="s">
        <v>75</v>
      </c>
      <c r="B98" s="332">
        <f>(B97/B96)*(B95/B94)*(B93/B92)*(B91/B90)*B89</f>
        <v>500</v>
      </c>
      <c r="C98" s="397" t="s">
        <v>114</v>
      </c>
      <c r="D98" s="399">
        <f>D97*$B$83/100</f>
        <v>23.863796999999998</v>
      </c>
      <c r="E98" s="334"/>
      <c r="F98" s="333">
        <f>F97*$B$83/100</f>
        <v>24.800211999999998</v>
      </c>
    </row>
    <row r="99" spans="1:10" ht="19.5" customHeight="1" thickBot="1" x14ac:dyDescent="0.35">
      <c r="A99" s="491" t="s">
        <v>77</v>
      </c>
      <c r="B99" s="492"/>
      <c r="C99" s="397" t="s">
        <v>115</v>
      </c>
      <c r="D99" s="400">
        <f>D98/$B$98</f>
        <v>4.7727593999999998E-2</v>
      </c>
      <c r="E99" s="334"/>
      <c r="F99" s="337">
        <f>F98/$B$98</f>
        <v>4.9600423999999997E-2</v>
      </c>
      <c r="H99" s="268"/>
    </row>
    <row r="100" spans="1:10" ht="19.5" customHeight="1" thickBot="1" x14ac:dyDescent="0.35">
      <c r="A100" s="493"/>
      <c r="B100" s="494"/>
      <c r="C100" s="397" t="s">
        <v>79</v>
      </c>
      <c r="D100" s="401">
        <f>$B$56/$B$116</f>
        <v>5.5555555555555552E-2</v>
      </c>
      <c r="F100" s="342"/>
      <c r="G100" s="402"/>
      <c r="H100" s="268"/>
    </row>
    <row r="101" spans="1:10" ht="18.75" x14ac:dyDescent="0.3">
      <c r="C101" s="397" t="s">
        <v>80</v>
      </c>
      <c r="D101" s="398">
        <f>D100*$B$98</f>
        <v>27.777777777777775</v>
      </c>
      <c r="F101" s="342"/>
      <c r="H101" s="268"/>
    </row>
    <row r="102" spans="1:10" ht="19.5" customHeight="1" thickBot="1" x14ac:dyDescent="0.35">
      <c r="C102" s="403" t="s">
        <v>81</v>
      </c>
      <c r="D102" s="404">
        <f>D101/B34</f>
        <v>27.777777777777775</v>
      </c>
      <c r="F102" s="347"/>
      <c r="H102" s="268"/>
      <c r="J102" s="405"/>
    </row>
    <row r="103" spans="1:10" ht="18.75" x14ac:dyDescent="0.3">
      <c r="C103" s="406" t="s">
        <v>116</v>
      </c>
      <c r="D103" s="407">
        <f>AVERAGE(E91:E94,G91:G94)</f>
        <v>26946824.91734748</v>
      </c>
      <c r="F103" s="347"/>
      <c r="G103" s="402"/>
      <c r="H103" s="268"/>
      <c r="J103" s="408"/>
    </row>
    <row r="104" spans="1:10" ht="18.75" x14ac:dyDescent="0.3">
      <c r="C104" s="380" t="s">
        <v>83</v>
      </c>
      <c r="D104" s="409">
        <f>STDEV(E91:E94,G91:G94)/D103</f>
        <v>3.768865424960409E-3</v>
      </c>
      <c r="F104" s="347"/>
      <c r="H104" s="268"/>
      <c r="J104" s="408"/>
    </row>
    <row r="105" spans="1:10" ht="19.5" customHeight="1" thickBot="1" x14ac:dyDescent="0.35">
      <c r="C105" s="382" t="s">
        <v>20</v>
      </c>
      <c r="D105" s="410">
        <f>COUNT(E91:E94,G91:G94)</f>
        <v>6</v>
      </c>
      <c r="F105" s="347"/>
      <c r="H105" s="268"/>
      <c r="J105" s="408"/>
    </row>
    <row r="106" spans="1:10" ht="19.5" customHeight="1" thickBot="1" x14ac:dyDescent="0.35">
      <c r="A106" s="351"/>
      <c r="B106" s="351"/>
      <c r="C106" s="351"/>
      <c r="D106" s="351"/>
      <c r="E106" s="351"/>
    </row>
    <row r="107" spans="1:10" ht="26.25" customHeight="1" x14ac:dyDescent="0.4">
      <c r="A107" s="301" t="s">
        <v>117</v>
      </c>
      <c r="B107" s="302">
        <v>900</v>
      </c>
      <c r="C107" s="385" t="s">
        <v>118</v>
      </c>
      <c r="D107" s="411" t="s">
        <v>62</v>
      </c>
      <c r="E107" s="412" t="s">
        <v>119</v>
      </c>
      <c r="F107" s="413" t="s">
        <v>120</v>
      </c>
    </row>
    <row r="108" spans="1:10" ht="26.25" customHeight="1" x14ac:dyDescent="0.4">
      <c r="A108" s="303" t="s">
        <v>121</v>
      </c>
      <c r="B108" s="304">
        <v>2</v>
      </c>
      <c r="C108" s="414">
        <v>1</v>
      </c>
      <c r="D108" s="415">
        <v>26526246</v>
      </c>
      <c r="E108" s="416">
        <f t="shared" ref="E108:E113" si="1">IF(ISBLANK(D108),"-",D108/$D$103*$D$100*$B$116)</f>
        <v>492.19613222267373</v>
      </c>
      <c r="F108" s="417">
        <f t="shared" ref="F108:F113" si="2">IF(ISBLANK(D108), "-", E108/$B$56)</f>
        <v>0.98439226444534744</v>
      </c>
    </row>
    <row r="109" spans="1:10" ht="26.25" customHeight="1" x14ac:dyDescent="0.4">
      <c r="A109" s="303" t="s">
        <v>94</v>
      </c>
      <c r="B109" s="304">
        <v>20</v>
      </c>
      <c r="C109" s="414">
        <v>2</v>
      </c>
      <c r="D109" s="415">
        <v>25353388</v>
      </c>
      <c r="E109" s="418">
        <f t="shared" si="1"/>
        <v>470.4336796220901</v>
      </c>
      <c r="F109" s="419">
        <f t="shared" si="2"/>
        <v>0.94086735924418019</v>
      </c>
    </row>
    <row r="110" spans="1:10" ht="26.25" customHeight="1" x14ac:dyDescent="0.4">
      <c r="A110" s="303" t="s">
        <v>95</v>
      </c>
      <c r="B110" s="304">
        <v>1</v>
      </c>
      <c r="C110" s="414">
        <v>3</v>
      </c>
      <c r="D110" s="415">
        <v>25439351</v>
      </c>
      <c r="E110" s="418">
        <f t="shared" si="1"/>
        <v>472.02872839432342</v>
      </c>
      <c r="F110" s="419">
        <f t="shared" si="2"/>
        <v>0.94405745678864683</v>
      </c>
    </row>
    <row r="111" spans="1:10" ht="26.25" customHeight="1" x14ac:dyDescent="0.4">
      <c r="A111" s="303" t="s">
        <v>96</v>
      </c>
      <c r="B111" s="304">
        <v>1</v>
      </c>
      <c r="C111" s="414">
        <v>4</v>
      </c>
      <c r="D111" s="415">
        <v>26133169</v>
      </c>
      <c r="E111" s="418">
        <f t="shared" si="1"/>
        <v>484.90256421965921</v>
      </c>
      <c r="F111" s="419">
        <f t="shared" si="2"/>
        <v>0.96980512843931843</v>
      </c>
    </row>
    <row r="112" spans="1:10" ht="26.25" customHeight="1" x14ac:dyDescent="0.4">
      <c r="A112" s="303" t="s">
        <v>97</v>
      </c>
      <c r="B112" s="304">
        <v>1</v>
      </c>
      <c r="C112" s="414">
        <v>5</v>
      </c>
      <c r="D112" s="415">
        <v>26542823</v>
      </c>
      <c r="E112" s="418">
        <f t="shared" si="1"/>
        <v>492.50371948111416</v>
      </c>
      <c r="F112" s="419">
        <f t="shared" si="2"/>
        <v>0.98500743896222831</v>
      </c>
    </row>
    <row r="113" spans="1:10" ht="26.25" customHeight="1" x14ac:dyDescent="0.4">
      <c r="A113" s="303" t="s">
        <v>99</v>
      </c>
      <c r="B113" s="304">
        <v>1</v>
      </c>
      <c r="C113" s="420">
        <v>6</v>
      </c>
      <c r="D113" s="421">
        <v>26437318</v>
      </c>
      <c r="E113" s="422">
        <f t="shared" si="1"/>
        <v>490.54606769238563</v>
      </c>
      <c r="F113" s="423">
        <f t="shared" si="2"/>
        <v>0.98109213538477125</v>
      </c>
    </row>
    <row r="114" spans="1:10" ht="26.25" customHeight="1" x14ac:dyDescent="0.4">
      <c r="A114" s="303" t="s">
        <v>100</v>
      </c>
      <c r="B114" s="304">
        <v>1</v>
      </c>
      <c r="C114" s="414"/>
      <c r="D114" s="332"/>
      <c r="E114" s="277"/>
      <c r="F114" s="424"/>
    </row>
    <row r="115" spans="1:10" ht="26.25" customHeight="1" x14ac:dyDescent="0.4">
      <c r="A115" s="303" t="s">
        <v>101</v>
      </c>
      <c r="B115" s="304">
        <v>1</v>
      </c>
      <c r="C115" s="414"/>
      <c r="D115" s="425" t="s">
        <v>70</v>
      </c>
      <c r="E115" s="426">
        <f>AVERAGE(E108:E113)</f>
        <v>483.76848193870774</v>
      </c>
      <c r="F115" s="427">
        <f>AVERAGE(F108:F113)</f>
        <v>0.96753696387741528</v>
      </c>
    </row>
    <row r="116" spans="1:10" ht="27" customHeight="1" thickBot="1" x14ac:dyDescent="0.45">
      <c r="A116" s="303" t="s">
        <v>102</v>
      </c>
      <c r="B116" s="315">
        <f>(B115/B114)*(B113/B112)*(B111/B110)*(B109/B108)*B107</f>
        <v>9000</v>
      </c>
      <c r="C116" s="428"/>
      <c r="D116" s="288" t="s">
        <v>83</v>
      </c>
      <c r="E116" s="429">
        <f>STDEV(E108:E113)/E115</f>
        <v>2.0880625366155675E-2</v>
      </c>
      <c r="F116" s="429">
        <f>STDEV(F108:F113)/F115</f>
        <v>2.0880625366155675E-2</v>
      </c>
      <c r="I116" s="277"/>
    </row>
    <row r="117" spans="1:10" ht="27" customHeight="1" thickBot="1" x14ac:dyDescent="0.45">
      <c r="A117" s="491" t="s">
        <v>77</v>
      </c>
      <c r="B117" s="495"/>
      <c r="C117" s="430"/>
      <c r="D117" s="431" t="s">
        <v>20</v>
      </c>
      <c r="E117" s="432">
        <f>COUNT(E108:E113)</f>
        <v>6</v>
      </c>
      <c r="F117" s="432">
        <f>COUNT(F108:F113)</f>
        <v>6</v>
      </c>
      <c r="I117" s="277"/>
      <c r="J117" s="408"/>
    </row>
    <row r="118" spans="1:10" ht="19.5" customHeight="1" thickBot="1" x14ac:dyDescent="0.35">
      <c r="A118" s="493"/>
      <c r="B118" s="496"/>
      <c r="C118" s="277"/>
      <c r="D118" s="277"/>
      <c r="E118" s="277"/>
      <c r="F118" s="332"/>
      <c r="G118" s="277"/>
      <c r="H118" s="277"/>
      <c r="I118" s="277"/>
    </row>
    <row r="119" spans="1:10" ht="18.75" x14ac:dyDescent="0.3">
      <c r="A119" s="433"/>
      <c r="B119" s="299"/>
      <c r="C119" s="277"/>
      <c r="D119" s="277"/>
      <c r="E119" s="277"/>
      <c r="F119" s="332"/>
      <c r="G119" s="277"/>
      <c r="H119" s="277"/>
      <c r="I119" s="277"/>
    </row>
    <row r="120" spans="1:10" ht="26.25" customHeight="1" x14ac:dyDescent="0.4">
      <c r="A120" s="287" t="s">
        <v>105</v>
      </c>
      <c r="B120" s="288" t="s">
        <v>122</v>
      </c>
      <c r="C120" s="497" t="str">
        <f>B20</f>
        <v>Ornidazole</v>
      </c>
      <c r="D120" s="497"/>
      <c r="E120" s="277" t="s">
        <v>123</v>
      </c>
      <c r="F120" s="277"/>
      <c r="G120" s="384">
        <f>F115</f>
        <v>0.96753696387741528</v>
      </c>
      <c r="H120" s="277"/>
      <c r="I120" s="277"/>
    </row>
    <row r="121" spans="1:10" ht="19.5" customHeight="1" thickBot="1" x14ac:dyDescent="0.35">
      <c r="A121" s="434"/>
      <c r="B121" s="434"/>
      <c r="C121" s="435"/>
      <c r="D121" s="435"/>
      <c r="E121" s="435"/>
      <c r="F121" s="435"/>
      <c r="G121" s="435"/>
      <c r="H121" s="435"/>
    </row>
    <row r="122" spans="1:10" ht="18.75" x14ac:dyDescent="0.3">
      <c r="B122" s="498" t="s">
        <v>25</v>
      </c>
      <c r="C122" s="498"/>
      <c r="E122" s="387" t="s">
        <v>26</v>
      </c>
      <c r="F122" s="436"/>
      <c r="G122" s="498" t="s">
        <v>27</v>
      </c>
      <c r="H122" s="498"/>
    </row>
    <row r="123" spans="1:10" ht="69.95" customHeight="1" x14ac:dyDescent="0.3">
      <c r="A123" s="287" t="s">
        <v>28</v>
      </c>
      <c r="B123" s="437"/>
      <c r="C123" s="437"/>
      <c r="E123" s="437"/>
      <c r="F123" s="277"/>
      <c r="G123" s="437"/>
      <c r="H123" s="437"/>
    </row>
    <row r="124" spans="1:10" ht="69.95" customHeight="1" x14ac:dyDescent="0.3">
      <c r="A124" s="287" t="s">
        <v>29</v>
      </c>
      <c r="B124" s="438"/>
      <c r="C124" s="438" t="s">
        <v>131</v>
      </c>
      <c r="E124" s="526">
        <v>42412</v>
      </c>
      <c r="F124" s="277"/>
      <c r="G124" s="439"/>
      <c r="H124" s="439"/>
    </row>
    <row r="125" spans="1:10" ht="18.75" x14ac:dyDescent="0.3">
      <c r="A125" s="332"/>
      <c r="B125" s="332"/>
      <c r="C125" s="332"/>
      <c r="D125" s="332"/>
      <c r="E125" s="332"/>
      <c r="F125" s="334"/>
      <c r="G125" s="332"/>
      <c r="H125" s="332"/>
      <c r="I125" s="277"/>
    </row>
    <row r="126" spans="1:10" ht="18.75" x14ac:dyDescent="0.3">
      <c r="A126" s="332"/>
      <c r="B126" s="332"/>
      <c r="C126" s="332"/>
      <c r="D126" s="332"/>
      <c r="E126" s="332"/>
      <c r="F126" s="334"/>
      <c r="G126" s="332"/>
      <c r="H126" s="332"/>
      <c r="I126" s="277"/>
    </row>
    <row r="127" spans="1:10" ht="18.75" x14ac:dyDescent="0.3">
      <c r="A127" s="332"/>
      <c r="B127" s="332"/>
      <c r="C127" s="332"/>
      <c r="D127" s="332"/>
      <c r="E127" s="332"/>
      <c r="F127" s="334"/>
      <c r="G127" s="332"/>
      <c r="H127" s="332"/>
      <c r="I127" s="277"/>
    </row>
    <row r="128" spans="1:10" ht="18.75" x14ac:dyDescent="0.3">
      <c r="A128" s="332"/>
      <c r="B128" s="332"/>
      <c r="C128" s="332"/>
      <c r="D128" s="332"/>
      <c r="E128" s="332"/>
      <c r="F128" s="334"/>
      <c r="G128" s="332"/>
      <c r="H128" s="332"/>
      <c r="I128" s="277"/>
    </row>
    <row r="129" spans="1:9" ht="18.75" x14ac:dyDescent="0.3">
      <c r="A129" s="332"/>
      <c r="B129" s="332"/>
      <c r="C129" s="332"/>
      <c r="D129" s="332"/>
      <c r="E129" s="332"/>
      <c r="F129" s="334"/>
      <c r="G129" s="332"/>
      <c r="H129" s="332"/>
      <c r="I129" s="277"/>
    </row>
    <row r="130" spans="1:9" ht="18.75" x14ac:dyDescent="0.3">
      <c r="A130" s="332"/>
      <c r="B130" s="332"/>
      <c r="C130" s="332"/>
      <c r="D130" s="332"/>
      <c r="E130" s="332"/>
      <c r="F130" s="334"/>
      <c r="G130" s="332"/>
      <c r="H130" s="332"/>
      <c r="I130" s="277"/>
    </row>
    <row r="131" spans="1:9" ht="18.75" x14ac:dyDescent="0.3">
      <c r="A131" s="332"/>
      <c r="B131" s="332"/>
      <c r="C131" s="332"/>
      <c r="D131" s="332"/>
      <c r="E131" s="332"/>
      <c r="F131" s="334"/>
      <c r="G131" s="332"/>
      <c r="H131" s="332"/>
      <c r="I131" s="277"/>
    </row>
    <row r="132" spans="1:9" ht="18.75" x14ac:dyDescent="0.3">
      <c r="A132" s="332"/>
      <c r="B132" s="332"/>
      <c r="C132" s="332"/>
      <c r="D132" s="332"/>
      <c r="E132" s="332"/>
      <c r="F132" s="334"/>
      <c r="G132" s="332"/>
      <c r="H132" s="332"/>
      <c r="I132" s="277"/>
    </row>
    <row r="133" spans="1:9" ht="18.75" x14ac:dyDescent="0.3">
      <c r="A133" s="332"/>
      <c r="B133" s="332"/>
      <c r="C133" s="332"/>
      <c r="D133" s="332"/>
      <c r="E133" s="332"/>
      <c r="F133" s="334"/>
      <c r="G133" s="332"/>
      <c r="H133" s="332"/>
      <c r="I133" s="277"/>
    </row>
    <row r="250" spans="1:1" x14ac:dyDescent="0.25">
      <c r="A250" s="234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 </vt:lpstr>
      <vt:lpstr>Uniformity</vt:lpstr>
      <vt:lpstr>OFLOXACIN</vt:lpstr>
      <vt:lpstr>ornidazole 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2016-02-12T11:54:29Z</dcterms:modified>
</cp:coreProperties>
</file>