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52" windowWidth="15012" windowHeight="7620" activeTab="3"/>
  </bookViews>
  <sheets>
    <sheet name="SST - 3TC" sheetId="1" r:id="rId1"/>
    <sheet name="SST - AZT" sheetId="5" r:id="rId2"/>
    <sheet name="Uniformity" sheetId="2" r:id="rId3"/>
    <sheet name="Lamivudine" sheetId="3" r:id="rId4"/>
    <sheet name="Zidovudine" sheetId="4" r:id="rId5"/>
  </sheets>
  <definedNames>
    <definedName name="_xlnm.Print_Area" localSheetId="3">Lamivudine!$A$1:$H$127</definedName>
    <definedName name="_xlnm.Print_Area" localSheetId="2">Uniformity!$A$1:$J$46</definedName>
    <definedName name="_xlnm.Print_Area" localSheetId="4">Zidovudine!$A$1:$H$125</definedName>
  </definedNames>
  <calcPr calcId="145621"/>
</workbook>
</file>

<file path=xl/calcChain.xml><?xml version="1.0" encoding="utf-8"?>
<calcChain xmlns="http://schemas.openxmlformats.org/spreadsheetml/2006/main">
  <c r="C76" i="3" l="1"/>
  <c r="C120" i="4"/>
  <c r="B42" i="1"/>
  <c r="B42" i="5"/>
  <c r="C121" i="3" l="1"/>
  <c r="G94" i="3"/>
  <c r="G93" i="3"/>
  <c r="G92" i="3"/>
  <c r="E92" i="3"/>
  <c r="D96" i="3"/>
  <c r="C76" i="4"/>
  <c r="H72" i="4"/>
  <c r="C56" i="4"/>
  <c r="D51" i="4"/>
  <c r="D50" i="4"/>
  <c r="G42" i="4"/>
  <c r="G40" i="4"/>
  <c r="G39" i="4"/>
  <c r="G38" i="4"/>
  <c r="E40" i="4"/>
  <c r="E39" i="4"/>
  <c r="E38" i="4"/>
  <c r="D42" i="4"/>
  <c r="G60" i="3"/>
  <c r="H60" i="3"/>
  <c r="H70" i="3"/>
  <c r="H69" i="3"/>
  <c r="H68" i="3"/>
  <c r="H66" i="3"/>
  <c r="H65" i="3"/>
  <c r="H64" i="3"/>
  <c r="H62" i="3"/>
  <c r="H61" i="3"/>
  <c r="G72" i="3"/>
  <c r="G70" i="3"/>
  <c r="G69" i="3"/>
  <c r="G68" i="3"/>
  <c r="G66" i="3"/>
  <c r="G65" i="3"/>
  <c r="G64" i="3"/>
  <c r="G62" i="3"/>
  <c r="B69" i="3"/>
  <c r="F45" i="3"/>
  <c r="C56" i="3"/>
  <c r="D17" i="2"/>
  <c r="D16" i="2"/>
  <c r="C37" i="2"/>
  <c r="C38" i="2"/>
  <c r="D25" i="2" s="1"/>
  <c r="B40" i="1"/>
  <c r="B39" i="1"/>
  <c r="B40" i="5"/>
  <c r="B39" i="5"/>
  <c r="B21" i="5"/>
  <c r="B21" i="1"/>
  <c r="E94" i="4" l="1"/>
  <c r="B87" i="4"/>
  <c r="B34" i="3"/>
  <c r="B53" i="5"/>
  <c r="E51" i="5"/>
  <c r="D51" i="5"/>
  <c r="C51" i="5"/>
  <c r="B51" i="5"/>
  <c r="B52" i="5" s="1"/>
  <c r="B32" i="5"/>
  <c r="E30" i="5"/>
  <c r="D30" i="5"/>
  <c r="C30" i="5"/>
  <c r="B30" i="5"/>
  <c r="B31" i="5" s="1"/>
  <c r="B116" i="4"/>
  <c r="D100" i="4" s="1"/>
  <c r="B98" i="4"/>
  <c r="F95" i="4"/>
  <c r="D95" i="4"/>
  <c r="F97" i="4"/>
  <c r="B81" i="4"/>
  <c r="B83" i="4" s="1"/>
  <c r="B80" i="4"/>
  <c r="B79" i="4"/>
  <c r="B68" i="4"/>
  <c r="B55" i="4"/>
  <c r="B45" i="4"/>
  <c r="D48" i="4" s="1"/>
  <c r="F42" i="4"/>
  <c r="B34" i="4"/>
  <c r="D44" i="4" s="1"/>
  <c r="D45" i="4" s="1"/>
  <c r="B30" i="4"/>
  <c r="B117" i="3"/>
  <c r="D101" i="3" s="1"/>
  <c r="B99" i="3"/>
  <c r="F96" i="3"/>
  <c r="B88" i="3"/>
  <c r="F98" i="3" s="1"/>
  <c r="B82" i="3"/>
  <c r="B84" i="3" s="1"/>
  <c r="B81" i="3"/>
  <c r="B80" i="3"/>
  <c r="B68" i="3"/>
  <c r="B57" i="3"/>
  <c r="B55" i="3"/>
  <c r="B45" i="3"/>
  <c r="D48" i="3" s="1"/>
  <c r="F42" i="3"/>
  <c r="D42" i="3"/>
  <c r="B30" i="3"/>
  <c r="D41" i="2"/>
  <c r="D42" i="2"/>
  <c r="D35" i="2"/>
  <c r="D31" i="2"/>
  <c r="D28" i="2"/>
  <c r="D27" i="2"/>
  <c r="D23" i="2"/>
  <c r="D20" i="2"/>
  <c r="D19" i="2"/>
  <c r="C1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D101" i="4"/>
  <c r="D102" i="4" s="1"/>
  <c r="I93" i="3"/>
  <c r="D102" i="3"/>
  <c r="I39" i="4"/>
  <c r="D46" i="4"/>
  <c r="I39" i="3"/>
  <c r="B57" i="4"/>
  <c r="B69" i="4" s="1"/>
  <c r="D24" i="2"/>
  <c r="D32" i="2"/>
  <c r="C41" i="2"/>
  <c r="D44" i="3"/>
  <c r="D45" i="3" s="1"/>
  <c r="D46" i="3" s="1"/>
  <c r="F44" i="3"/>
  <c r="G41" i="3" s="1"/>
  <c r="F99" i="3"/>
  <c r="F100" i="3" s="1"/>
  <c r="D49" i="3"/>
  <c r="E40" i="3"/>
  <c r="G38" i="3"/>
  <c r="D49" i="4"/>
  <c r="E41" i="4"/>
  <c r="F98" i="4"/>
  <c r="F99" i="4" s="1"/>
  <c r="F44" i="4"/>
  <c r="F45" i="4" s="1"/>
  <c r="F46" i="4" s="1"/>
  <c r="D21" i="2"/>
  <c r="D29" i="2"/>
  <c r="D33" i="2"/>
  <c r="D98" i="3"/>
  <c r="D99" i="3" s="1"/>
  <c r="D100" i="3" s="1"/>
  <c r="D97" i="4"/>
  <c r="D98" i="4" s="1"/>
  <c r="D99" i="4" s="1"/>
  <c r="C42" i="2"/>
  <c r="D18" i="2"/>
  <c r="D22" i="2"/>
  <c r="D26" i="2"/>
  <c r="D30" i="2"/>
  <c r="D34" i="2"/>
  <c r="B41" i="2"/>
  <c r="E92" i="4" l="1"/>
  <c r="D103" i="3"/>
  <c r="E94" i="3"/>
  <c r="E93" i="4"/>
  <c r="E39" i="3"/>
  <c r="G95" i="3"/>
  <c r="G96" i="3" s="1"/>
  <c r="E42" i="4"/>
  <c r="G40" i="3"/>
  <c r="G93" i="4"/>
  <c r="E41" i="3"/>
  <c r="G41" i="4"/>
  <c r="E38" i="3"/>
  <c r="G92" i="4"/>
  <c r="E91" i="4"/>
  <c r="E95" i="3"/>
  <c r="E93" i="3"/>
  <c r="G94" i="4"/>
  <c r="F46" i="3"/>
  <c r="G39" i="3"/>
  <c r="G91" i="4"/>
  <c r="G95" i="4" l="1"/>
  <c r="G68" i="4"/>
  <c r="H68" i="4" s="1"/>
  <c r="G42" i="3"/>
  <c r="E95" i="4"/>
  <c r="D105" i="4"/>
  <c r="D103" i="4"/>
  <c r="E96" i="3"/>
  <c r="D106" i="3"/>
  <c r="D104" i="3"/>
  <c r="D52" i="3"/>
  <c r="D50" i="3"/>
  <c r="E42" i="3"/>
  <c r="D52" i="4"/>
  <c r="E114" i="3" l="1"/>
  <c r="F114" i="3" s="1"/>
  <c r="E112" i="3"/>
  <c r="F112" i="3" s="1"/>
  <c r="E111" i="3"/>
  <c r="F111" i="3" s="1"/>
  <c r="E110" i="3"/>
  <c r="F110" i="3" s="1"/>
  <c r="E109" i="3"/>
  <c r="F109" i="3" s="1"/>
  <c r="E113" i="3"/>
  <c r="F113" i="3" s="1"/>
  <c r="G60" i="4"/>
  <c r="H60" i="4" s="1"/>
  <c r="G69" i="4"/>
  <c r="H69" i="4" s="1"/>
  <c r="G65" i="4"/>
  <c r="H65" i="4" s="1"/>
  <c r="G64" i="4"/>
  <c r="H64" i="4" s="1"/>
  <c r="G62" i="4"/>
  <c r="H62" i="4" s="1"/>
  <c r="G61" i="4"/>
  <c r="H61" i="4" s="1"/>
  <c r="G70" i="4"/>
  <c r="H70" i="4" s="1"/>
  <c r="G66" i="4"/>
  <c r="H66" i="4" s="1"/>
  <c r="E112" i="4"/>
  <c r="F112" i="4" s="1"/>
  <c r="E110" i="4"/>
  <c r="F110" i="4" s="1"/>
  <c r="E108" i="4"/>
  <c r="F108" i="4" s="1"/>
  <c r="E113" i="4"/>
  <c r="F113" i="4" s="1"/>
  <c r="E111" i="4"/>
  <c r="F111" i="4" s="1"/>
  <c r="D104" i="4"/>
  <c r="E109" i="4"/>
  <c r="F109" i="4" s="1"/>
  <c r="D105" i="3"/>
  <c r="G61" i="3"/>
  <c r="D51" i="3"/>
  <c r="F116" i="3" l="1"/>
  <c r="G74" i="4"/>
  <c r="G72" i="4"/>
  <c r="G73" i="4" s="1"/>
  <c r="G74" i="3"/>
  <c r="G73" i="3"/>
  <c r="H74" i="4"/>
  <c r="E115" i="4"/>
  <c r="E116" i="4" s="1"/>
  <c r="E117" i="4"/>
  <c r="E116" i="3"/>
  <c r="E117" i="3" s="1"/>
  <c r="E118" i="3"/>
  <c r="F118" i="3" l="1"/>
  <c r="G76" i="4"/>
  <c r="H73" i="4"/>
  <c r="F117" i="4"/>
  <c r="F115" i="4"/>
  <c r="H72" i="3"/>
  <c r="H74" i="3"/>
  <c r="G120" i="4" l="1"/>
  <c r="F116" i="4"/>
  <c r="G121" i="3"/>
  <c r="F117" i="3"/>
  <c r="G76" i="3"/>
  <c r="H73" i="3"/>
</calcChain>
</file>

<file path=xl/sharedStrings.xml><?xml version="1.0" encoding="utf-8"?>
<sst xmlns="http://schemas.openxmlformats.org/spreadsheetml/2006/main" count="451" uniqueCount="137">
  <si>
    <t>HPLC System Suitability Report</t>
  </si>
  <si>
    <t>Analysis Data</t>
  </si>
  <si>
    <t>Assay</t>
  </si>
  <si>
    <t>Sample(s)</t>
  </si>
  <si>
    <t>Reference Substance:</t>
  </si>
  <si>
    <t>LAZIDAVIR</t>
  </si>
  <si>
    <t>% age Purity:</t>
  </si>
  <si>
    <t>NDQD201509282</t>
  </si>
  <si>
    <t>Weight (mg):</t>
  </si>
  <si>
    <t>Lamivudine 30 mg and Zidovudine 60 mg</t>
  </si>
  <si>
    <t>Standard Conc (mg/mL):</t>
  </si>
  <si>
    <t>Each film coated tablet contains Lamivudine (3TC) USP 30 mg and Zidovudine (AZT) USP 60 mg.</t>
  </si>
  <si>
    <t>2015-09-15 09:46:48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</si>
  <si>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</si>
  <si>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</si>
  <si>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</si>
  <si>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</si>
  <si>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</si>
  <si>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</si>
  <si>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</si>
  <si>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</si>
  <si>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</si>
  <si>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</si>
  <si>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</si>
  <si>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</si>
  <si>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</si>
  <si>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</si>
  <si>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</si>
  <si>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</si>
  <si>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</si>
  <si>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</si>
  <si>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</si>
  <si>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</si>
  <si>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</si>
  <si>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</si>
  <si>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</si>
  <si>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</si>
  <si>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</si>
  <si>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</si>
  <si>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</si>
  <si>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</si>
  <si>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</si>
  <si>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</si>
  <si>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</si>
  <si>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</si>
  <si>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</si>
  <si>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</si>
  <si>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</si>
  <si>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</si>
  <si>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</si>
  <si>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</si>
  <si>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</si>
  <si>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</si>
  <si>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</si>
  <si>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</si>
  <si>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</si>
  <si>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</si>
  <si>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</si>
  <si>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</si>
  <si>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</si>
  <si>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</si>
  <si>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</si>
  <si>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</si>
  <si>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</si>
  <si>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</si>
  <si>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</si>
  <si>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</si>
  <si>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</si>
  <si>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</si>
  <si>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</si>
  <si>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</si>
  <si>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</si>
  <si>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</si>
  <si>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</si>
  <si>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</si>
  <si>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</si>
  <si>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</si>
  <si>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</si>
  <si>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</si>
  <si>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</si>
  <si>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</si>
  <si>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</si>
  <si>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</si>
  <si>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</si>
  <si>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</si>
  <si>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</si>
  <si>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</si>
  <si>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</si>
  <si>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</si>
  <si>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</si>
  <si>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</si>
  <si>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</si>
  <si>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</si>
  <si>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</si>
  <si>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</si>
  <si>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</si>
  <si>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</si>
  <si>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</si>
  <si>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</si>
  <si>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</si>
  <si>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</si>
  <si>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</si>
  <si>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</si>
  <si>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</si>
  <si>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</si>
  <si>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</si>
  <si>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</si>
  <si>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</si>
  <si>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</si>
  <si>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</si>
  <si>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</si>
  <si>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</si>
  <si>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</si>
  <si>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</si>
  <si>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</si>
  <si>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</si>
  <si>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</si>
  <si>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</si>
  <si>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</si>
  <si>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</si>
  <si>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</si>
  <si>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</si>
  <si>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</si>
  <si>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</si>
  <si>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Dr. Sarah Mwangi</t>
  </si>
  <si>
    <t>18th November 2015</t>
  </si>
  <si>
    <t>Lamivudine</t>
  </si>
  <si>
    <t>PN15-105</t>
  </si>
  <si>
    <t>Zidovudine</t>
  </si>
  <si>
    <t>Z1-1</t>
  </si>
  <si>
    <t>LAZIDAVIR TABLETS</t>
  </si>
  <si>
    <t>NICHOLAS MWAURA</t>
  </si>
  <si>
    <t>N. MWAURA</t>
  </si>
  <si>
    <t>Average Tablet  Weight (mg):</t>
  </si>
  <si>
    <t>Actual concentration (mg/mL):</t>
  </si>
  <si>
    <t>Mass of WRS (mg):</t>
  </si>
  <si>
    <t>Tablet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</si>
</sst>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  <numFmt numFmtId="174" formatCode="d\-mmmm\-yyyy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8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56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0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0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6" fontId="13" fillId="3" borderId="40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0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2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3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4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6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8" xfId="0" applyNumberFormat="1" applyFont="1" applyFill="1" applyBorder="1" applyAlignment="1">
      <alignment horizontal="center"/>
    </xf>
    <xf numFmtId="1" fontId="12" fillId="6" borderId="49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51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0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42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0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0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6" fontId="13" fillId="3" borderId="40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0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2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3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3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4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6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8" xfId="0" applyNumberFormat="1" applyFont="1" applyFill="1" applyBorder="1" applyAlignment="1">
      <alignment horizontal="center"/>
    </xf>
    <xf numFmtId="1" fontId="12" fillId="6" borderId="49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51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0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42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0" fontId="4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73" fontId="7" fillId="3" borderId="3" xfId="0" applyNumberFormat="1" applyFont="1" applyFill="1" applyBorder="1" applyAlignment="1" applyProtection="1">
      <alignment horizontal="center"/>
      <protection locked="0"/>
    </xf>
    <xf numFmtId="173" fontId="7" fillId="3" borderId="5" xfId="0" applyNumberFormat="1" applyFont="1" applyFill="1" applyBorder="1" applyAlignment="1" applyProtection="1">
      <alignment horizontal="center"/>
      <protection locked="0"/>
    </xf>
    <xf numFmtId="173" fontId="7" fillId="3" borderId="4" xfId="0" applyNumberFormat="1" applyFont="1" applyFill="1" applyBorder="1" applyAlignment="1" applyProtection="1">
      <alignment horizontal="center"/>
      <protection locked="0"/>
    </xf>
    <xf numFmtId="0" fontId="6" fillId="2" borderId="31" xfId="0" applyFont="1" applyFill="1" applyBorder="1" applyAlignment="1">
      <alignment horizontal="center"/>
    </xf>
    <xf numFmtId="0" fontId="7" fillId="3" borderId="6" xfId="0" applyFont="1" applyFill="1" applyBorder="1" applyAlignment="1" applyProtection="1">
      <alignment horizontal="center"/>
      <protection locked="0"/>
    </xf>
    <xf numFmtId="0" fontId="7" fillId="3" borderId="8" xfId="0" applyFont="1" applyFill="1" applyBorder="1" applyAlignment="1" applyProtection="1">
      <alignment horizontal="center"/>
      <protection locked="0"/>
    </xf>
    <xf numFmtId="0" fontId="5" fillId="2" borderId="26" xfId="0" applyFont="1" applyFill="1" applyBorder="1" applyAlignment="1">
      <alignment horizontal="center"/>
    </xf>
    <xf numFmtId="1" fontId="5" fillId="4" borderId="35" xfId="0" applyNumberFormat="1" applyFont="1" applyFill="1" applyBorder="1" applyAlignment="1">
      <alignment horizontal="center"/>
    </xf>
    <xf numFmtId="0" fontId="7" fillId="3" borderId="57" xfId="0" applyFont="1" applyFill="1" applyBorder="1" applyAlignment="1" applyProtection="1">
      <alignment horizontal="center"/>
      <protection locked="0"/>
    </xf>
    <xf numFmtId="0" fontId="7" fillId="3" borderId="58" xfId="0" applyFont="1" applyFill="1" applyBorder="1" applyAlignment="1" applyProtection="1">
      <alignment horizontal="center"/>
      <protection locked="0"/>
    </xf>
    <xf numFmtId="0" fontId="7" fillId="3" borderId="59" xfId="0" applyFont="1" applyFill="1" applyBorder="1" applyAlignment="1" applyProtection="1">
      <alignment horizontal="center"/>
      <protection locked="0"/>
    </xf>
    <xf numFmtId="0" fontId="2" fillId="2" borderId="7" xfId="0" applyFont="1" applyFill="1" applyBorder="1" applyAlignment="1">
      <alignment horizontal="center"/>
    </xf>
    <xf numFmtId="174" fontId="1" fillId="2" borderId="11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Alignment="1" applyProtection="1">
      <alignment horizontal="center"/>
      <protection locked="0"/>
    </xf>
    <xf numFmtId="2" fontId="6" fillId="3" borderId="15" xfId="0" applyNumberFormat="1" applyFont="1" applyFill="1" applyBorder="1" applyAlignment="1" applyProtection="1">
      <alignment horizontal="center"/>
      <protection locked="0"/>
    </xf>
    <xf numFmtId="2" fontId="6" fillId="2" borderId="12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13" fillId="3" borderId="0" xfId="0" applyFont="1" applyFill="1" applyAlignment="1" applyProtection="1">
      <protection locked="0"/>
    </xf>
    <xf numFmtId="0" fontId="13" fillId="3" borderId="0" xfId="0" applyFont="1" applyFill="1" applyAlignment="1" applyProtection="1">
      <alignment wrapText="1"/>
      <protection locked="0"/>
    </xf>
    <xf numFmtId="0" fontId="13" fillId="3" borderId="0" xfId="0" applyFont="1" applyFill="1" applyAlignment="1" applyProtection="1">
      <alignment horizontal="center" wrapText="1"/>
      <protection locked="0"/>
    </xf>
    <xf numFmtId="0" fontId="14" fillId="3" borderId="0" xfId="0" applyFont="1" applyFill="1" applyAlignment="1" applyProtection="1">
      <protection locked="0"/>
    </xf>
    <xf numFmtId="0" fontId="13" fillId="3" borderId="10" xfId="0" applyFont="1" applyFill="1" applyBorder="1" applyAlignment="1" applyProtection="1">
      <alignment horizontal="center"/>
      <protection locked="0"/>
    </xf>
    <xf numFmtId="0" fontId="5" fillId="2" borderId="60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61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62" xfId="0" applyFont="1" applyFill="1" applyBorder="1"/>
    <xf numFmtId="0" fontId="12" fillId="2" borderId="20" xfId="0" applyFont="1" applyFill="1" applyBorder="1" applyAlignment="1">
      <alignment horizontal="center"/>
    </xf>
    <xf numFmtId="0" fontId="18" fillId="2" borderId="22" xfId="0" applyFont="1" applyFill="1" applyBorder="1"/>
    <xf numFmtId="0" fontId="13" fillId="3" borderId="44" xfId="0" applyFont="1" applyFill="1" applyBorder="1" applyAlignment="1" applyProtection="1">
      <alignment horizontal="center"/>
      <protection locked="0"/>
    </xf>
    <xf numFmtId="0" fontId="12" fillId="2" borderId="66" xfId="0" applyFont="1" applyFill="1" applyBorder="1" applyAlignment="1">
      <alignment horizontal="center"/>
    </xf>
    <xf numFmtId="0" fontId="12" fillId="2" borderId="67" xfId="0" applyFont="1" applyFill="1" applyBorder="1" applyAlignment="1">
      <alignment horizontal="center"/>
    </xf>
    <xf numFmtId="0" fontId="13" fillId="3" borderId="68" xfId="0" applyFont="1" applyFill="1" applyBorder="1" applyAlignment="1" applyProtection="1">
      <alignment horizontal="center"/>
      <protection locked="0"/>
    </xf>
    <xf numFmtId="171" fontId="11" fillId="2" borderId="69" xfId="0" applyNumberFormat="1" applyFont="1" applyFill="1" applyBorder="1" applyAlignment="1">
      <alignment horizontal="center"/>
    </xf>
    <xf numFmtId="0" fontId="13" fillId="3" borderId="70" xfId="0" applyFont="1" applyFill="1" applyBorder="1" applyAlignment="1" applyProtection="1">
      <alignment horizontal="center"/>
      <protection locked="0"/>
    </xf>
    <xf numFmtId="171" fontId="11" fillId="2" borderId="71" xfId="0" applyNumberFormat="1" applyFont="1" applyFill="1" applyBorder="1" applyAlignment="1">
      <alignment horizontal="center"/>
    </xf>
    <xf numFmtId="0" fontId="13" fillId="3" borderId="72" xfId="0" applyFont="1" applyFill="1" applyBorder="1" applyAlignment="1" applyProtection="1">
      <alignment horizontal="center"/>
      <protection locked="0"/>
    </xf>
    <xf numFmtId="171" fontId="11" fillId="2" borderId="67" xfId="0" applyNumberFormat="1" applyFont="1" applyFill="1" applyBorder="1" applyAlignment="1">
      <alignment horizontal="center"/>
    </xf>
    <xf numFmtId="1" fontId="12" fillId="6" borderId="73" xfId="0" applyNumberFormat="1" applyFont="1" applyFill="1" applyBorder="1" applyAlignment="1">
      <alignment horizontal="center"/>
    </xf>
    <xf numFmtId="171" fontId="12" fillId="6" borderId="74" xfId="0" applyNumberFormat="1" applyFont="1" applyFill="1" applyBorder="1" applyAlignment="1">
      <alignment horizontal="center"/>
    </xf>
    <xf numFmtId="0" fontId="16" fillId="2" borderId="70" xfId="0" applyFont="1" applyFill="1" applyBorder="1"/>
    <xf numFmtId="0" fontId="16" fillId="2" borderId="0" xfId="0" applyFont="1" applyFill="1" applyBorder="1"/>
    <xf numFmtId="0" fontId="17" fillId="2" borderId="78" xfId="0" applyFont="1" applyFill="1" applyBorder="1"/>
    <xf numFmtId="0" fontId="12" fillId="2" borderId="0" xfId="0" applyFont="1" applyFill="1" applyBorder="1" applyAlignment="1">
      <alignment vertical="center" wrapText="1"/>
    </xf>
    <xf numFmtId="0" fontId="18" fillId="2" borderId="0" xfId="0" applyFont="1" applyFill="1" applyBorder="1"/>
    <xf numFmtId="166" fontId="14" fillId="2" borderId="43" xfId="0" applyNumberFormat="1" applyFont="1" applyFill="1" applyBorder="1" applyAlignment="1">
      <alignment horizontal="center"/>
    </xf>
    <xf numFmtId="0" fontId="15" fillId="2" borderId="0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/>
    </xf>
    <xf numFmtId="0" fontId="12" fillId="2" borderId="81" xfId="0" applyFont="1" applyFill="1" applyBorder="1" applyAlignment="1">
      <alignment horizontal="center"/>
    </xf>
    <xf numFmtId="0" fontId="12" fillId="2" borderId="82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right"/>
    </xf>
    <xf numFmtId="0" fontId="11" fillId="2" borderId="9" xfId="0" applyFont="1" applyFill="1" applyBorder="1" applyAlignment="1">
      <alignment horizontal="right"/>
    </xf>
    <xf numFmtId="0" fontId="11" fillId="2" borderId="83" xfId="0" applyFont="1" applyFill="1" applyBorder="1" applyAlignment="1">
      <alignment horizontal="right"/>
    </xf>
    <xf numFmtId="2" fontId="13" fillId="7" borderId="84" xfId="0" applyNumberFormat="1" applyFont="1" applyFill="1" applyBorder="1" applyAlignment="1">
      <alignment horizontal="center"/>
    </xf>
    <xf numFmtId="10" fontId="13" fillId="7" borderId="85" xfId="0" applyNumberFormat="1" applyFont="1" applyFill="1" applyBorder="1" applyAlignment="1">
      <alignment horizontal="center"/>
    </xf>
    <xf numFmtId="10" fontId="13" fillId="6" borderId="86" xfId="0" applyNumberFormat="1" applyFont="1" applyFill="1" applyBorder="1" applyAlignment="1">
      <alignment horizontal="center"/>
    </xf>
    <xf numFmtId="10" fontId="13" fillId="6" borderId="82" xfId="0" applyNumberFormat="1" applyFont="1" applyFill="1" applyBorder="1" applyAlignment="1">
      <alignment horizontal="center"/>
    </xf>
    <xf numFmtId="0" fontId="13" fillId="7" borderId="87" xfId="0" applyFont="1" applyFill="1" applyBorder="1" applyAlignment="1">
      <alignment horizontal="center"/>
    </xf>
    <xf numFmtId="0" fontId="13" fillId="7" borderId="88" xfId="0" applyFont="1" applyFill="1" applyBorder="1" applyAlignment="1">
      <alignment horizontal="center"/>
    </xf>
    <xf numFmtId="0" fontId="13" fillId="0" borderId="0" xfId="0" applyFont="1" applyFill="1" applyAlignment="1" applyProtection="1">
      <alignment horizontal="center"/>
      <protection locked="0"/>
    </xf>
    <xf numFmtId="174" fontId="12" fillId="2" borderId="1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75" xfId="0" applyFont="1" applyFill="1" applyBorder="1" applyAlignment="1">
      <alignment horizontal="justify" vertical="center" wrapText="1"/>
    </xf>
    <xf numFmtId="0" fontId="19" fillId="2" borderId="76" xfId="0" applyFont="1" applyFill="1" applyBorder="1" applyAlignment="1">
      <alignment horizontal="justify" vertical="center" wrapText="1"/>
    </xf>
    <xf numFmtId="0" fontId="19" fillId="2" borderId="77" xfId="0" applyFont="1" applyFill="1" applyBorder="1" applyAlignment="1">
      <alignment horizontal="justify" vertical="center" wrapText="1"/>
    </xf>
    <xf numFmtId="0" fontId="19" fillId="2" borderId="62" xfId="0" applyFont="1" applyFill="1" applyBorder="1" applyAlignment="1">
      <alignment horizontal="left" vertical="center" wrapText="1"/>
    </xf>
    <xf numFmtId="0" fontId="19" fillId="2" borderId="64" xfId="0" applyFont="1" applyFill="1" applyBorder="1" applyAlignment="1">
      <alignment horizontal="left" vertical="center" wrapText="1"/>
    </xf>
    <xf numFmtId="0" fontId="19" fillId="2" borderId="65" xfId="0" applyFont="1" applyFill="1" applyBorder="1" applyAlignment="1">
      <alignment horizontal="left" vertical="center" wrapText="1"/>
    </xf>
    <xf numFmtId="0" fontId="19" fillId="2" borderId="42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2" fillId="2" borderId="63" xfId="0" applyFont="1" applyFill="1" applyBorder="1" applyAlignment="1">
      <alignment horizontal="center"/>
    </xf>
    <xf numFmtId="0" fontId="12" fillId="2" borderId="64" xfId="0" applyFont="1" applyFill="1" applyBorder="1" applyAlignment="1">
      <alignment horizontal="center"/>
    </xf>
    <xf numFmtId="0" fontId="12" fillId="2" borderId="62" xfId="0" applyFont="1" applyFill="1" applyBorder="1" applyAlignment="1">
      <alignment horizontal="center"/>
    </xf>
    <xf numFmtId="0" fontId="12" fillId="2" borderId="65" xfId="0" applyFont="1" applyFill="1" applyBorder="1" applyAlignment="1">
      <alignment horizontal="center"/>
    </xf>
    <xf numFmtId="10" fontId="15" fillId="2" borderId="24" xfId="0" applyNumberFormat="1" applyFont="1" applyFill="1" applyBorder="1" applyAlignment="1">
      <alignment horizontal="center" vertic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2" fillId="2" borderId="42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39" xfId="0" applyFont="1" applyFill="1" applyBorder="1" applyAlignment="1">
      <alignment horizontal="center"/>
    </xf>
    <xf numFmtId="0" fontId="12" fillId="2" borderId="79" xfId="0" applyFont="1" applyFill="1" applyBorder="1" applyAlignment="1">
      <alignment horizontal="center"/>
    </xf>
    <xf numFmtId="0" fontId="12" fillId="2" borderId="80" xfId="0" applyFont="1" applyFill="1" applyBorder="1" applyAlignment="1">
      <alignment horizontal="center"/>
    </xf>
  </cellXfs>
  <cellStyles count="1">
    <cellStyle name="Normal" xfId="0" builtinId="0"/>
  </cellStyles>
  <dxfs count="3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zoomScaleNormal="100" workbookViewId="0">
      <selection activeCell="C68" sqref="C68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501" t="s">
        <v>0</v>
      </c>
      <c r="B15" s="501"/>
      <c r="C15" s="501"/>
      <c r="D15" s="501"/>
      <c r="E15" s="50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130</v>
      </c>
      <c r="D17" s="9"/>
      <c r="E17" s="10"/>
    </row>
    <row r="18" spans="1:6" ht="16.5" customHeight="1" x14ac:dyDescent="0.3">
      <c r="A18" s="11" t="s">
        <v>4</v>
      </c>
      <c r="B18" s="438" t="s">
        <v>126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101.74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15.26</v>
      </c>
      <c r="C20" s="10"/>
      <c r="D20" s="10"/>
      <c r="E20" s="10"/>
    </row>
    <row r="21" spans="1:6" ht="16.5" customHeight="1" x14ac:dyDescent="0.3">
      <c r="A21" s="7" t="s">
        <v>10</v>
      </c>
      <c r="B21" s="439">
        <f>B20/100</f>
        <v>0.15259999999999999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137869846</v>
      </c>
      <c r="C24" s="18">
        <v>13314.1</v>
      </c>
      <c r="D24" s="440">
        <v>1</v>
      </c>
      <c r="E24" s="442">
        <v>13.2</v>
      </c>
    </row>
    <row r="25" spans="1:6" ht="16.5" customHeight="1" x14ac:dyDescent="0.3">
      <c r="A25" s="17">
        <v>2</v>
      </c>
      <c r="B25" s="18">
        <v>137675302</v>
      </c>
      <c r="C25" s="18">
        <v>13245.6</v>
      </c>
      <c r="D25" s="440">
        <v>1</v>
      </c>
      <c r="E25" s="440">
        <v>13.4</v>
      </c>
    </row>
    <row r="26" spans="1:6" ht="16.5" customHeight="1" x14ac:dyDescent="0.3">
      <c r="A26" s="17">
        <v>3</v>
      </c>
      <c r="B26" s="18">
        <v>137627347</v>
      </c>
      <c r="C26" s="18">
        <v>13314.7</v>
      </c>
      <c r="D26" s="440">
        <v>1</v>
      </c>
      <c r="E26" s="440">
        <v>13.4</v>
      </c>
    </row>
    <row r="27" spans="1:6" ht="16.5" customHeight="1" x14ac:dyDescent="0.3">
      <c r="A27" s="17">
        <v>4</v>
      </c>
      <c r="B27" s="18">
        <v>137634230</v>
      </c>
      <c r="C27" s="18">
        <v>13333.3</v>
      </c>
      <c r="D27" s="440">
        <v>1</v>
      </c>
      <c r="E27" s="440">
        <v>13.5</v>
      </c>
    </row>
    <row r="28" spans="1:6" ht="16.5" customHeight="1" x14ac:dyDescent="0.3">
      <c r="A28" s="17">
        <v>5</v>
      </c>
      <c r="B28" s="18">
        <v>138193170</v>
      </c>
      <c r="C28" s="18">
        <v>13293.8</v>
      </c>
      <c r="D28" s="440">
        <v>1</v>
      </c>
      <c r="E28" s="440">
        <v>13.5</v>
      </c>
    </row>
    <row r="29" spans="1:6" ht="16.5" customHeight="1" x14ac:dyDescent="0.3">
      <c r="A29" s="17">
        <v>6</v>
      </c>
      <c r="B29" s="19">
        <v>137926956</v>
      </c>
      <c r="C29" s="19">
        <v>13182.3</v>
      </c>
      <c r="D29" s="441">
        <v>1.1000000000000001</v>
      </c>
      <c r="E29" s="441">
        <v>13.5</v>
      </c>
    </row>
    <row r="30" spans="1:6" ht="16.5" customHeight="1" x14ac:dyDescent="0.3">
      <c r="A30" s="20" t="s">
        <v>18</v>
      </c>
      <c r="B30" s="21">
        <f>AVERAGE(B24:B29)</f>
        <v>137821141.83333334</v>
      </c>
      <c r="C30" s="22">
        <f>AVERAGE(C24:C29)</f>
        <v>13280.633333333333</v>
      </c>
      <c r="D30" s="23">
        <f>AVERAGE(D24:D29)</f>
        <v>1.0166666666666666</v>
      </c>
      <c r="E30" s="23">
        <f>AVERAGE(E24:E29)</f>
        <v>13.416666666666666</v>
      </c>
    </row>
    <row r="31" spans="1:6" ht="16.5" customHeight="1" x14ac:dyDescent="0.3">
      <c r="A31" s="24" t="s">
        <v>19</v>
      </c>
      <c r="B31" s="25">
        <f>(STDEV(B24:B29)/B30)</f>
        <v>1.6085443240101722E-3</v>
      </c>
      <c r="C31" s="26"/>
      <c r="D31" s="26"/>
      <c r="E31" s="27"/>
      <c r="F31" s="2"/>
    </row>
    <row r="32" spans="1:6" s="2" customFormat="1" ht="16.5" customHeight="1" x14ac:dyDescent="0.3">
      <c r="A32" s="28" t="s">
        <v>20</v>
      </c>
      <c r="B32" s="29">
        <f>COUNT(B24:B29)</f>
        <v>6</v>
      </c>
      <c r="C32" s="30"/>
      <c r="D32" s="31"/>
      <c r="E32" s="32"/>
    </row>
    <row r="33" spans="1:6" s="2" customFormat="1" ht="15.75" customHeight="1" x14ac:dyDescent="0.3">
      <c r="A33" s="10"/>
      <c r="B33" s="10"/>
      <c r="C33" s="10"/>
      <c r="D33" s="10"/>
      <c r="E33" s="33"/>
    </row>
    <row r="34" spans="1:6" s="2" customFormat="1" ht="16.5" customHeight="1" x14ac:dyDescent="0.3">
      <c r="A34" s="11" t="s">
        <v>21</v>
      </c>
      <c r="B34" s="34" t="s">
        <v>22</v>
      </c>
      <c r="C34" s="35"/>
      <c r="D34" s="35"/>
      <c r="E34" s="36"/>
    </row>
    <row r="35" spans="1:6" ht="16.5" customHeight="1" x14ac:dyDescent="0.3">
      <c r="A35" s="11"/>
      <c r="B35" s="34" t="s">
        <v>23</v>
      </c>
      <c r="C35" s="35"/>
      <c r="D35" s="35"/>
      <c r="E35" s="36"/>
      <c r="F35" s="2"/>
    </row>
    <row r="36" spans="1:6" ht="16.5" customHeight="1" x14ac:dyDescent="0.3">
      <c r="A36" s="11"/>
      <c r="B36" s="37" t="s">
        <v>24</v>
      </c>
      <c r="C36" s="35"/>
      <c r="D36" s="35"/>
      <c r="E36" s="35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436" t="s">
        <v>25</v>
      </c>
    </row>
    <row r="39" spans="1:6" ht="16.5" customHeight="1" x14ac:dyDescent="0.3">
      <c r="A39" s="11" t="s">
        <v>4</v>
      </c>
      <c r="B39" s="9" t="str">
        <f>B18</f>
        <v>Lamivudine</v>
      </c>
      <c r="C39" s="10"/>
      <c r="D39" s="10"/>
      <c r="E39" s="10"/>
    </row>
    <row r="40" spans="1:6" ht="16.5" customHeight="1" x14ac:dyDescent="0.3">
      <c r="A40" s="11" t="s">
        <v>6</v>
      </c>
      <c r="B40" s="12">
        <f>B19</f>
        <v>101.74</v>
      </c>
      <c r="C40" s="10"/>
      <c r="D40" s="10"/>
      <c r="E40" s="10"/>
    </row>
    <row r="41" spans="1:6" ht="16.5" customHeight="1" x14ac:dyDescent="0.3">
      <c r="A41" s="7" t="s">
        <v>8</v>
      </c>
      <c r="B41" s="12">
        <v>14.65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B41/50*2/20</f>
        <v>2.93E-2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446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443">
        <v>1</v>
      </c>
      <c r="B45" s="448">
        <v>24037061</v>
      </c>
      <c r="C45" s="444">
        <v>6015</v>
      </c>
      <c r="D45" s="440">
        <v>1.2</v>
      </c>
      <c r="E45" s="442">
        <v>2.8</v>
      </c>
    </row>
    <row r="46" spans="1:6" ht="16.5" customHeight="1" x14ac:dyDescent="0.3">
      <c r="A46" s="443">
        <v>2</v>
      </c>
      <c r="B46" s="449">
        <v>24024402</v>
      </c>
      <c r="C46" s="444">
        <v>6021</v>
      </c>
      <c r="D46" s="440">
        <v>1.2</v>
      </c>
      <c r="E46" s="440">
        <v>2.8</v>
      </c>
    </row>
    <row r="47" spans="1:6" ht="16.5" customHeight="1" x14ac:dyDescent="0.3">
      <c r="A47" s="443">
        <v>3</v>
      </c>
      <c r="B47" s="449">
        <v>24005949</v>
      </c>
      <c r="C47" s="444">
        <v>5996</v>
      </c>
      <c r="D47" s="440">
        <v>1.2</v>
      </c>
      <c r="E47" s="440">
        <v>2.8</v>
      </c>
    </row>
    <row r="48" spans="1:6" ht="16.5" customHeight="1" x14ac:dyDescent="0.3">
      <c r="A48" s="443">
        <v>4</v>
      </c>
      <c r="B48" s="449">
        <v>23910984</v>
      </c>
      <c r="C48" s="444">
        <v>6013</v>
      </c>
      <c r="D48" s="440">
        <v>1.2</v>
      </c>
      <c r="E48" s="440">
        <v>2.8</v>
      </c>
    </row>
    <row r="49" spans="1:7" ht="16.5" customHeight="1" x14ac:dyDescent="0.3">
      <c r="A49" s="443">
        <v>5</v>
      </c>
      <c r="B49" s="449">
        <v>23984427</v>
      </c>
      <c r="C49" s="444">
        <v>5984</v>
      </c>
      <c r="D49" s="440">
        <v>1.1000000000000001</v>
      </c>
      <c r="E49" s="440">
        <v>2.8</v>
      </c>
    </row>
    <row r="50" spans="1:7" ht="16.5" customHeight="1" x14ac:dyDescent="0.3">
      <c r="A50" s="443">
        <v>6</v>
      </c>
      <c r="B50" s="450">
        <v>23983648</v>
      </c>
      <c r="C50" s="445">
        <v>6024</v>
      </c>
      <c r="D50" s="441">
        <v>1.2</v>
      </c>
      <c r="E50" s="441">
        <v>2.8</v>
      </c>
    </row>
    <row r="51" spans="1:7" ht="16.5" customHeight="1" x14ac:dyDescent="0.3">
      <c r="A51" s="20" t="s">
        <v>18</v>
      </c>
      <c r="B51" s="447">
        <f>AVERAGE(B45:B50)</f>
        <v>23991078.5</v>
      </c>
      <c r="C51" s="22">
        <f>AVERAGE(C45:C50)</f>
        <v>6008.833333333333</v>
      </c>
      <c r="D51" s="23">
        <f>AVERAGE(D45:D50)</f>
        <v>1.1833333333333333</v>
      </c>
      <c r="E51" s="23">
        <f>AVERAGE(E45:E50)</f>
        <v>2.8000000000000003</v>
      </c>
    </row>
    <row r="52" spans="1:7" ht="16.5" customHeight="1" x14ac:dyDescent="0.3">
      <c r="A52" s="24" t="s">
        <v>19</v>
      </c>
      <c r="B52" s="25">
        <f>(STDEV(B45:B50)/B51)</f>
        <v>1.8604034466760519E-3</v>
      </c>
      <c r="C52" s="26"/>
      <c r="D52" s="26"/>
      <c r="E52" s="27"/>
      <c r="F52" s="2"/>
    </row>
    <row r="53" spans="1:7" s="2" customFormat="1" ht="16.5" customHeight="1" x14ac:dyDescent="0.3">
      <c r="A53" s="28" t="s">
        <v>20</v>
      </c>
      <c r="B53" s="29">
        <f>COUNT(B45:B50)</f>
        <v>6</v>
      </c>
      <c r="C53" s="30"/>
      <c r="D53" s="31"/>
      <c r="E53" s="32"/>
    </row>
    <row r="54" spans="1:7" s="2" customFormat="1" ht="15.75" customHeight="1" x14ac:dyDescent="0.3">
      <c r="A54" s="10"/>
      <c r="B54" s="10"/>
      <c r="C54" s="10"/>
      <c r="D54" s="10"/>
      <c r="E54" s="33"/>
    </row>
    <row r="55" spans="1:7" s="2" customFormat="1" ht="16.5" customHeight="1" x14ac:dyDescent="0.3">
      <c r="A55" s="11" t="s">
        <v>21</v>
      </c>
      <c r="B55" s="34" t="s">
        <v>22</v>
      </c>
      <c r="C55" s="35"/>
      <c r="D55" s="35"/>
      <c r="E55" s="36"/>
    </row>
    <row r="56" spans="1:7" ht="16.5" customHeight="1" x14ac:dyDescent="0.3">
      <c r="A56" s="11"/>
      <c r="B56" s="34" t="s">
        <v>23</v>
      </c>
      <c r="C56" s="35"/>
      <c r="D56" s="35"/>
      <c r="E56" s="36"/>
      <c r="F56" s="2"/>
    </row>
    <row r="57" spans="1:7" ht="16.5" customHeight="1" x14ac:dyDescent="0.3">
      <c r="A57" s="11"/>
      <c r="B57" s="37" t="s">
        <v>24</v>
      </c>
      <c r="C57" s="35"/>
      <c r="D57" s="36"/>
      <c r="E57" s="35"/>
    </row>
    <row r="58" spans="1:7" ht="14.25" customHeight="1" x14ac:dyDescent="0.3">
      <c r="A58" s="38"/>
      <c r="B58" s="39"/>
      <c r="D58" s="40"/>
      <c r="F58" s="41"/>
      <c r="G58" s="41"/>
    </row>
    <row r="59" spans="1:7" ht="15" customHeight="1" x14ac:dyDescent="0.3">
      <c r="B59" s="502" t="s">
        <v>26</v>
      </c>
      <c r="C59" s="502"/>
      <c r="E59" s="42" t="s">
        <v>27</v>
      </c>
      <c r="F59" s="43"/>
      <c r="G59" s="42" t="s">
        <v>28</v>
      </c>
    </row>
    <row r="60" spans="1:7" ht="15" customHeight="1" x14ac:dyDescent="0.3">
      <c r="A60" s="44" t="s">
        <v>29</v>
      </c>
      <c r="B60" s="45"/>
      <c r="C60" s="45" t="s">
        <v>124</v>
      </c>
      <c r="E60" s="451" t="s">
        <v>125</v>
      </c>
      <c r="F60" s="2"/>
      <c r="G60" s="46"/>
    </row>
    <row r="61" spans="1:7" ht="24" customHeight="1" x14ac:dyDescent="0.3">
      <c r="A61" s="44" t="s">
        <v>30</v>
      </c>
      <c r="B61" s="47"/>
      <c r="C61" s="47" t="s">
        <v>131</v>
      </c>
      <c r="E61" s="452">
        <v>42347</v>
      </c>
      <c r="F61" s="2"/>
      <c r="G61" s="4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3" zoomScaleNormal="100" workbookViewId="0">
      <selection activeCell="E61" sqref="E61"/>
    </sheetView>
  </sheetViews>
  <sheetFormatPr defaultColWidth="9.109375" defaultRowHeight="13.8" x14ac:dyDescent="0.3"/>
  <cols>
    <col min="1" max="1" width="27.5546875" style="388" customWidth="1"/>
    <col min="2" max="2" width="20.44140625" style="388" customWidth="1"/>
    <col min="3" max="3" width="31.88671875" style="388" customWidth="1"/>
    <col min="4" max="4" width="25.88671875" style="388" customWidth="1"/>
    <col min="5" max="5" width="25.6640625" style="388" customWidth="1"/>
    <col min="6" max="6" width="23.109375" style="388" customWidth="1"/>
    <col min="7" max="7" width="28.44140625" style="388" customWidth="1"/>
    <col min="8" max="8" width="21.5546875" style="388" customWidth="1"/>
    <col min="9" max="9" width="9.109375" style="388" customWidth="1"/>
    <col min="10" max="16384" width="9.109375" style="41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501" t="s">
        <v>0</v>
      </c>
      <c r="B15" s="501"/>
      <c r="C15" s="501"/>
      <c r="D15" s="501"/>
      <c r="E15" s="501"/>
    </row>
    <row r="16" spans="1:6" ht="16.5" customHeight="1" x14ac:dyDescent="0.3">
      <c r="A16" s="85" t="s">
        <v>1</v>
      </c>
      <c r="B16" s="56" t="s">
        <v>2</v>
      </c>
    </row>
    <row r="17" spans="1:5" ht="16.5" customHeight="1" x14ac:dyDescent="0.3">
      <c r="A17" s="8" t="s">
        <v>3</v>
      </c>
      <c r="B17" s="8" t="s">
        <v>130</v>
      </c>
      <c r="D17" s="9"/>
      <c r="E17" s="69"/>
    </row>
    <row r="18" spans="1:5" ht="16.5" customHeight="1" x14ac:dyDescent="0.3">
      <c r="A18" s="72" t="s">
        <v>4</v>
      </c>
      <c r="B18" s="9" t="s">
        <v>128</v>
      </c>
      <c r="C18" s="69"/>
      <c r="D18" s="69"/>
      <c r="E18" s="69"/>
    </row>
    <row r="19" spans="1:5" ht="16.5" customHeight="1" x14ac:dyDescent="0.3">
      <c r="A19" s="72" t="s">
        <v>6</v>
      </c>
      <c r="B19" s="12">
        <v>99.7</v>
      </c>
      <c r="C19" s="69"/>
      <c r="D19" s="69"/>
      <c r="E19" s="69"/>
    </row>
    <row r="20" spans="1:5" ht="16.5" customHeight="1" x14ac:dyDescent="0.3">
      <c r="A20" s="8" t="s">
        <v>8</v>
      </c>
      <c r="B20" s="12">
        <v>32.24</v>
      </c>
      <c r="C20" s="69"/>
      <c r="D20" s="69"/>
      <c r="E20" s="69"/>
    </row>
    <row r="21" spans="1:5" ht="16.5" customHeight="1" x14ac:dyDescent="0.3">
      <c r="A21" s="8" t="s">
        <v>10</v>
      </c>
      <c r="B21" s="439">
        <f>B20/100</f>
        <v>0.32240000000000002</v>
      </c>
      <c r="C21" s="69"/>
      <c r="D21" s="69"/>
      <c r="E21" s="69"/>
    </row>
    <row r="22" spans="1:5" ht="15.75" customHeight="1" x14ac:dyDescent="0.3">
      <c r="A22" s="69"/>
      <c r="B22" s="69"/>
      <c r="C22" s="69"/>
      <c r="D22" s="69"/>
      <c r="E22" s="69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234666206</v>
      </c>
      <c r="C24" s="18">
        <v>141189.9</v>
      </c>
      <c r="D24" s="440">
        <v>1</v>
      </c>
      <c r="E24" s="442">
        <v>37.700000000000003</v>
      </c>
    </row>
    <row r="25" spans="1:5" ht="16.5" customHeight="1" x14ac:dyDescent="0.3">
      <c r="A25" s="17">
        <v>2</v>
      </c>
      <c r="B25" s="18">
        <v>234120027</v>
      </c>
      <c r="C25" s="18">
        <v>142719.79999999999</v>
      </c>
      <c r="D25" s="440">
        <v>1</v>
      </c>
      <c r="E25" s="440">
        <v>37.799999999999997</v>
      </c>
    </row>
    <row r="26" spans="1:5" ht="16.5" customHeight="1" x14ac:dyDescent="0.3">
      <c r="A26" s="17">
        <v>3</v>
      </c>
      <c r="B26" s="18">
        <v>234814762</v>
      </c>
      <c r="C26" s="18">
        <v>143874.29999999999</v>
      </c>
      <c r="D26" s="440">
        <v>1</v>
      </c>
      <c r="E26" s="440">
        <v>37.9</v>
      </c>
    </row>
    <row r="27" spans="1:5" ht="16.5" customHeight="1" x14ac:dyDescent="0.3">
      <c r="A27" s="17">
        <v>4</v>
      </c>
      <c r="B27" s="18">
        <v>234427460</v>
      </c>
      <c r="C27" s="18">
        <v>144389.70000000001</v>
      </c>
      <c r="D27" s="440">
        <v>1</v>
      </c>
      <c r="E27" s="440">
        <v>37.9</v>
      </c>
    </row>
    <row r="28" spans="1:5" ht="16.5" customHeight="1" x14ac:dyDescent="0.3">
      <c r="A28" s="17">
        <v>5</v>
      </c>
      <c r="B28" s="18">
        <v>235440845</v>
      </c>
      <c r="C28" s="18">
        <v>144800.29999999999</v>
      </c>
      <c r="D28" s="440">
        <v>1</v>
      </c>
      <c r="E28" s="440">
        <v>38</v>
      </c>
    </row>
    <row r="29" spans="1:5" ht="16.5" customHeight="1" x14ac:dyDescent="0.3">
      <c r="A29" s="17">
        <v>6</v>
      </c>
      <c r="B29" s="19">
        <v>235163198</v>
      </c>
      <c r="C29" s="19">
        <v>145193.70000000001</v>
      </c>
      <c r="D29" s="441">
        <v>1</v>
      </c>
      <c r="E29" s="441">
        <v>38</v>
      </c>
    </row>
    <row r="30" spans="1:5" ht="16.5" customHeight="1" x14ac:dyDescent="0.3">
      <c r="A30" s="20" t="s">
        <v>18</v>
      </c>
      <c r="B30" s="21">
        <f>AVERAGE(B24:B29)</f>
        <v>234772083</v>
      </c>
      <c r="C30" s="22">
        <f>AVERAGE(C24:C29)</f>
        <v>143694.61666666667</v>
      </c>
      <c r="D30" s="23">
        <f>AVERAGE(D24:D29)</f>
        <v>1</v>
      </c>
      <c r="E30" s="23">
        <f>AVERAGE(E24:E29)</f>
        <v>37.883333333333333</v>
      </c>
    </row>
    <row r="31" spans="1:5" ht="16.5" customHeight="1" x14ac:dyDescent="0.3">
      <c r="A31" s="24" t="s">
        <v>19</v>
      </c>
      <c r="B31" s="25">
        <f>(STDEV(B24:B29)/B30)</f>
        <v>2.0491338309214279E-3</v>
      </c>
      <c r="C31" s="26"/>
      <c r="D31" s="26"/>
      <c r="E31" s="27"/>
    </row>
    <row r="32" spans="1:5" s="388" customFormat="1" ht="16.5" customHeight="1" x14ac:dyDescent="0.3">
      <c r="A32" s="28" t="s">
        <v>20</v>
      </c>
      <c r="B32" s="29">
        <f>COUNT(B24:B29)</f>
        <v>6</v>
      </c>
      <c r="C32" s="30"/>
      <c r="D32" s="70"/>
      <c r="E32" s="32"/>
    </row>
    <row r="33" spans="1:5" s="388" customFormat="1" ht="15.75" customHeight="1" x14ac:dyDescent="0.3">
      <c r="A33" s="69"/>
      <c r="B33" s="69"/>
      <c r="C33" s="69"/>
      <c r="D33" s="69"/>
      <c r="E33" s="69"/>
    </row>
    <row r="34" spans="1:5" s="388" customFormat="1" ht="16.5" customHeight="1" x14ac:dyDescent="0.3">
      <c r="A34" s="72" t="s">
        <v>21</v>
      </c>
      <c r="B34" s="37" t="s">
        <v>22</v>
      </c>
      <c r="C34" s="36"/>
      <c r="D34" s="36"/>
      <c r="E34" s="36"/>
    </row>
    <row r="35" spans="1:5" ht="16.5" customHeight="1" x14ac:dyDescent="0.3">
      <c r="A35" s="72"/>
      <c r="B35" s="37" t="s">
        <v>23</v>
      </c>
      <c r="C35" s="36"/>
      <c r="D35" s="36"/>
      <c r="E35" s="36"/>
    </row>
    <row r="36" spans="1:5" ht="16.5" customHeight="1" x14ac:dyDescent="0.3">
      <c r="A36" s="72"/>
      <c r="B36" s="37" t="s">
        <v>24</v>
      </c>
      <c r="C36" s="36"/>
      <c r="D36" s="36"/>
      <c r="E36" s="36"/>
    </row>
    <row r="37" spans="1:5" ht="15.75" customHeight="1" x14ac:dyDescent="0.3">
      <c r="A37" s="69"/>
      <c r="B37" s="69"/>
      <c r="C37" s="69"/>
      <c r="D37" s="69"/>
      <c r="E37" s="69"/>
    </row>
    <row r="38" spans="1:5" ht="16.5" customHeight="1" x14ac:dyDescent="0.3">
      <c r="A38" s="85" t="s">
        <v>1</v>
      </c>
      <c r="B38" s="436" t="s">
        <v>25</v>
      </c>
    </row>
    <row r="39" spans="1:5" ht="16.5" customHeight="1" x14ac:dyDescent="0.3">
      <c r="A39" s="72" t="s">
        <v>4</v>
      </c>
      <c r="B39" s="9" t="str">
        <f>B18</f>
        <v>Zidovudine</v>
      </c>
      <c r="C39" s="69"/>
      <c r="D39" s="69"/>
      <c r="E39" s="69"/>
    </row>
    <row r="40" spans="1:5" ht="16.5" customHeight="1" x14ac:dyDescent="0.3">
      <c r="A40" s="72" t="s">
        <v>6</v>
      </c>
      <c r="B40" s="12">
        <f>B19</f>
        <v>99.7</v>
      </c>
      <c r="C40" s="69"/>
      <c r="D40" s="69"/>
      <c r="E40" s="69"/>
    </row>
    <row r="41" spans="1:5" ht="16.5" customHeight="1" x14ac:dyDescent="0.3">
      <c r="A41" s="8" t="s">
        <v>8</v>
      </c>
      <c r="B41" s="12">
        <v>27.32</v>
      </c>
      <c r="C41" s="69"/>
      <c r="D41" s="69"/>
      <c r="E41" s="69"/>
    </row>
    <row r="42" spans="1:5" ht="16.5" customHeight="1" x14ac:dyDescent="0.3">
      <c r="A42" s="8" t="s">
        <v>10</v>
      </c>
      <c r="B42" s="13">
        <f>B41/50*2/20</f>
        <v>5.4640000000000001E-2</v>
      </c>
      <c r="C42" s="69"/>
      <c r="D42" s="69"/>
      <c r="E42" s="69"/>
    </row>
    <row r="43" spans="1:5" ht="15.75" customHeight="1" x14ac:dyDescent="0.3">
      <c r="A43" s="69"/>
      <c r="B43" s="69"/>
      <c r="C43" s="69"/>
      <c r="D43" s="69"/>
      <c r="E43" s="69"/>
    </row>
    <row r="44" spans="1:5" ht="16.5" customHeight="1" x14ac:dyDescent="0.3">
      <c r="A44" s="16" t="s">
        <v>13</v>
      </c>
      <c r="B44" s="446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443">
        <v>1</v>
      </c>
      <c r="B45" s="448">
        <v>39844672</v>
      </c>
      <c r="C45" s="444">
        <v>6555</v>
      </c>
      <c r="D45" s="440">
        <v>1.1000000000000001</v>
      </c>
      <c r="E45" s="442">
        <v>3.8</v>
      </c>
    </row>
    <row r="46" spans="1:5" ht="16.5" customHeight="1" x14ac:dyDescent="0.3">
      <c r="A46" s="443">
        <v>2</v>
      </c>
      <c r="B46" s="449">
        <v>39863164</v>
      </c>
      <c r="C46" s="444">
        <v>6533</v>
      </c>
      <c r="D46" s="440">
        <v>1.1000000000000001</v>
      </c>
      <c r="E46" s="440">
        <v>3.8</v>
      </c>
    </row>
    <row r="47" spans="1:5" ht="16.5" customHeight="1" x14ac:dyDescent="0.3">
      <c r="A47" s="443">
        <v>3</v>
      </c>
      <c r="B47" s="449">
        <v>39835449</v>
      </c>
      <c r="C47" s="444">
        <v>6544</v>
      </c>
      <c r="D47" s="440">
        <v>1.2</v>
      </c>
      <c r="E47" s="440">
        <v>3.8</v>
      </c>
    </row>
    <row r="48" spans="1:5" ht="16.5" customHeight="1" x14ac:dyDescent="0.3">
      <c r="A48" s="443">
        <v>4</v>
      </c>
      <c r="B48" s="449">
        <v>39729096</v>
      </c>
      <c r="C48" s="444">
        <v>6543</v>
      </c>
      <c r="D48" s="440">
        <v>1.1000000000000001</v>
      </c>
      <c r="E48" s="440">
        <v>3.8</v>
      </c>
    </row>
    <row r="49" spans="1:7" ht="16.5" customHeight="1" x14ac:dyDescent="0.3">
      <c r="A49" s="443">
        <v>5</v>
      </c>
      <c r="B49" s="449">
        <v>39816035</v>
      </c>
      <c r="C49" s="444">
        <v>6527</v>
      </c>
      <c r="D49" s="440">
        <v>1.2</v>
      </c>
      <c r="E49" s="440">
        <v>3.8</v>
      </c>
    </row>
    <row r="50" spans="1:7" ht="16.5" customHeight="1" x14ac:dyDescent="0.3">
      <c r="A50" s="443">
        <v>6</v>
      </c>
      <c r="B50" s="450">
        <v>39851507</v>
      </c>
      <c r="C50" s="445">
        <v>6549</v>
      </c>
      <c r="D50" s="441">
        <v>1.1000000000000001</v>
      </c>
      <c r="E50" s="441">
        <v>3.8</v>
      </c>
    </row>
    <row r="51" spans="1:7" ht="16.5" customHeight="1" x14ac:dyDescent="0.3">
      <c r="A51" s="20" t="s">
        <v>18</v>
      </c>
      <c r="B51" s="447">
        <f>AVERAGE(B45:B50)</f>
        <v>39823320.5</v>
      </c>
      <c r="C51" s="22">
        <f>AVERAGE(C45:C50)</f>
        <v>6541.833333333333</v>
      </c>
      <c r="D51" s="23">
        <f>AVERAGE(D45:D50)</f>
        <v>1.1333333333333335</v>
      </c>
      <c r="E51" s="23">
        <f>AVERAGE(E45:E50)</f>
        <v>3.8000000000000003</v>
      </c>
    </row>
    <row r="52" spans="1:7" ht="16.5" customHeight="1" x14ac:dyDescent="0.3">
      <c r="A52" s="24" t="s">
        <v>19</v>
      </c>
      <c r="B52" s="25">
        <f>(STDEV(B45:B50)/B51)</f>
        <v>1.2258810696760387E-3</v>
      </c>
      <c r="C52" s="26"/>
      <c r="D52" s="26"/>
      <c r="E52" s="27"/>
    </row>
    <row r="53" spans="1:7" s="388" customFormat="1" ht="16.5" customHeight="1" x14ac:dyDescent="0.3">
      <c r="A53" s="28" t="s">
        <v>20</v>
      </c>
      <c r="B53" s="29">
        <f>COUNT(B45:B50)</f>
        <v>6</v>
      </c>
      <c r="C53" s="30"/>
      <c r="D53" s="70"/>
      <c r="E53" s="32"/>
    </row>
    <row r="54" spans="1:7" s="388" customFormat="1" ht="15.75" customHeight="1" x14ac:dyDescent="0.3">
      <c r="A54" s="69"/>
      <c r="B54" s="69"/>
      <c r="C54" s="69"/>
      <c r="D54" s="69"/>
      <c r="E54" s="69"/>
    </row>
    <row r="55" spans="1:7" s="388" customFormat="1" ht="16.5" customHeight="1" x14ac:dyDescent="0.3">
      <c r="A55" s="72" t="s">
        <v>21</v>
      </c>
      <c r="B55" s="37" t="s">
        <v>22</v>
      </c>
      <c r="C55" s="36"/>
      <c r="D55" s="36"/>
      <c r="E55" s="36"/>
    </row>
    <row r="56" spans="1:7" ht="16.5" customHeight="1" x14ac:dyDescent="0.3">
      <c r="A56" s="72"/>
      <c r="B56" s="37" t="s">
        <v>23</v>
      </c>
      <c r="C56" s="36"/>
      <c r="D56" s="36"/>
      <c r="E56" s="36"/>
    </row>
    <row r="57" spans="1:7" ht="16.5" customHeight="1" x14ac:dyDescent="0.3">
      <c r="A57" s="72"/>
      <c r="B57" s="37" t="s">
        <v>24</v>
      </c>
      <c r="C57" s="36"/>
      <c r="D57" s="36"/>
      <c r="E57" s="36"/>
    </row>
    <row r="58" spans="1:7" ht="14.25" customHeight="1" thickBot="1" x14ac:dyDescent="0.35">
      <c r="A58" s="38"/>
      <c r="B58" s="311"/>
      <c r="D58" s="40"/>
      <c r="F58" s="41"/>
      <c r="G58" s="41"/>
    </row>
    <row r="59" spans="1:7" ht="15" customHeight="1" x14ac:dyDescent="0.3">
      <c r="B59" s="502" t="s">
        <v>26</v>
      </c>
      <c r="C59" s="502"/>
      <c r="E59" s="42" t="s">
        <v>27</v>
      </c>
      <c r="F59" s="43"/>
      <c r="G59" s="42" t="s">
        <v>28</v>
      </c>
    </row>
    <row r="60" spans="1:7" ht="15" customHeight="1" x14ac:dyDescent="0.3">
      <c r="A60" s="44" t="s">
        <v>29</v>
      </c>
      <c r="B60" s="46"/>
      <c r="C60" s="46" t="s">
        <v>124</v>
      </c>
      <c r="E60" s="451" t="s">
        <v>125</v>
      </c>
      <c r="G60" s="46"/>
    </row>
    <row r="61" spans="1:7" ht="24.6" customHeight="1" x14ac:dyDescent="0.3">
      <c r="A61" s="44" t="s">
        <v>30</v>
      </c>
      <c r="B61" s="47"/>
      <c r="C61" s="47" t="s">
        <v>131</v>
      </c>
      <c r="E61" s="452">
        <v>42347</v>
      </c>
      <c r="G61" s="4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16" zoomScaleNormal="100" zoomScaleSheetLayoutView="100" workbookViewId="0">
      <selection activeCell="D18" sqref="D18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2" spans="1:7" ht="13.5" customHeight="1" x14ac:dyDescent="0.3"/>
    <row r="3" spans="1:7" ht="13.5" customHeight="1" x14ac:dyDescent="0.3">
      <c r="A3" s="506" t="s">
        <v>31</v>
      </c>
      <c r="B3" s="507"/>
      <c r="C3" s="507"/>
      <c r="D3" s="507"/>
      <c r="E3" s="507"/>
      <c r="F3" s="508"/>
      <c r="G3" s="86"/>
    </row>
    <row r="4" spans="1:7" ht="16.5" customHeight="1" x14ac:dyDescent="0.3">
      <c r="A4" s="505" t="s">
        <v>32</v>
      </c>
      <c r="B4" s="505"/>
      <c r="C4" s="505"/>
      <c r="D4" s="505"/>
      <c r="E4" s="505"/>
      <c r="F4" s="505"/>
      <c r="G4" s="85"/>
    </row>
    <row r="6" spans="1:7" ht="16.5" customHeight="1" x14ac:dyDescent="0.3">
      <c r="A6" s="510" t="s">
        <v>33</v>
      </c>
      <c r="B6" s="510"/>
      <c r="C6" s="57" t="s">
        <v>5</v>
      </c>
    </row>
    <row r="7" spans="1:7" ht="16.5" customHeight="1" x14ac:dyDescent="0.3">
      <c r="A7" s="510" t="s">
        <v>34</v>
      </c>
      <c r="B7" s="510"/>
      <c r="C7" s="57" t="s">
        <v>7</v>
      </c>
    </row>
    <row r="8" spans="1:7" ht="16.5" customHeight="1" x14ac:dyDescent="0.3">
      <c r="A8" s="510" t="s">
        <v>35</v>
      </c>
      <c r="B8" s="510"/>
      <c r="C8" s="57" t="s">
        <v>9</v>
      </c>
    </row>
    <row r="9" spans="1:7" ht="16.5" customHeight="1" x14ac:dyDescent="0.3">
      <c r="A9" s="510" t="s">
        <v>36</v>
      </c>
      <c r="B9" s="510"/>
      <c r="C9" s="69" t="s">
        <v>11</v>
      </c>
    </row>
    <row r="10" spans="1:7" ht="16.5" customHeight="1" x14ac:dyDescent="0.3">
      <c r="A10" s="510" t="s">
        <v>37</v>
      </c>
      <c r="B10" s="510"/>
      <c r="C10" s="90" t="s">
        <v>12</v>
      </c>
    </row>
    <row r="11" spans="1:7" ht="16.5" customHeight="1" x14ac:dyDescent="0.3">
      <c r="A11" s="510" t="s">
        <v>38</v>
      </c>
      <c r="B11" s="510"/>
      <c r="C11" s="90" t="e">
        <f>#REF!</f>
        <v>#REF!</v>
      </c>
    </row>
    <row r="12" spans="1:7" ht="16.5" customHeight="1" x14ac:dyDescent="0.3">
      <c r="A12" s="59"/>
      <c r="B12" s="59"/>
      <c r="C12" s="74"/>
    </row>
    <row r="13" spans="1:7" ht="16.5" customHeight="1" x14ac:dyDescent="0.3">
      <c r="A13" s="505" t="s">
        <v>1</v>
      </c>
      <c r="B13" s="505"/>
      <c r="C13" s="56" t="s">
        <v>39</v>
      </c>
      <c r="D13" s="63"/>
    </row>
    <row r="14" spans="1:7" ht="15.75" customHeight="1" x14ac:dyDescent="0.3">
      <c r="A14" s="509"/>
      <c r="B14" s="509"/>
      <c r="C14" s="54"/>
      <c r="D14" s="509"/>
      <c r="E14" s="509"/>
    </row>
    <row r="15" spans="1:7" ht="33.75" customHeight="1" x14ac:dyDescent="0.3">
      <c r="C15" s="81" t="s">
        <v>40</v>
      </c>
      <c r="D15" s="80" t="s">
        <v>41</v>
      </c>
      <c r="E15" s="49"/>
    </row>
    <row r="16" spans="1:7" ht="15.75" customHeight="1" x14ac:dyDescent="0.3">
      <c r="C16" s="453">
        <v>156.78</v>
      </c>
      <c r="D16" s="82">
        <f>(C16-$C$38)/$C$38</f>
        <v>-1.2546292797218946E-2</v>
      </c>
      <c r="E16" s="50"/>
    </row>
    <row r="17" spans="3:5" ht="15.75" customHeight="1" x14ac:dyDescent="0.3">
      <c r="C17" s="453">
        <v>157.19</v>
      </c>
      <c r="D17" s="83">
        <f>(C17-$C$38)/$C$38</f>
        <v>-9.9639734965866148E-3</v>
      </c>
      <c r="E17" s="50"/>
    </row>
    <row r="18" spans="3:5" ht="15.75" customHeight="1" x14ac:dyDescent="0.3">
      <c r="C18" s="453">
        <v>169.63</v>
      </c>
      <c r="D18" s="83">
        <f t="shared" ref="D18:D35" si="0">(C18-$C$38)/$C$38</f>
        <v>6.8387373088453537E-2</v>
      </c>
      <c r="E18" s="50"/>
    </row>
    <row r="19" spans="3:5" ht="15.75" customHeight="1" x14ac:dyDescent="0.3">
      <c r="C19" s="453">
        <v>155.57</v>
      </c>
      <c r="D19" s="83">
        <f t="shared" si="0"/>
        <v>-2.0167283903963256E-2</v>
      </c>
      <c r="E19" s="50"/>
    </row>
    <row r="20" spans="3:5" ht="15.75" customHeight="1" x14ac:dyDescent="0.3">
      <c r="C20" s="453">
        <v>158.72</v>
      </c>
      <c r="D20" s="83">
        <f t="shared" si="0"/>
        <v>-3.2751366739758471E-4</v>
      </c>
      <c r="E20" s="50"/>
    </row>
    <row r="21" spans="3:5" ht="15.75" customHeight="1" x14ac:dyDescent="0.3">
      <c r="C21" s="453">
        <v>159.16999999999999</v>
      </c>
      <c r="D21" s="83">
        <f t="shared" si="0"/>
        <v>2.5067392235402918E-3</v>
      </c>
      <c r="E21" s="50"/>
    </row>
    <row r="22" spans="3:5" ht="15.75" customHeight="1" x14ac:dyDescent="0.3">
      <c r="C22" s="453">
        <v>161.09</v>
      </c>
      <c r="D22" s="83">
        <f t="shared" si="0"/>
        <v>1.4599551558208969E-2</v>
      </c>
      <c r="E22" s="50"/>
    </row>
    <row r="23" spans="3:5" ht="15.75" customHeight="1" x14ac:dyDescent="0.3">
      <c r="C23" s="453">
        <v>159.41999999999999</v>
      </c>
      <c r="D23" s="83">
        <f t="shared" si="0"/>
        <v>4.0813241629502625E-3</v>
      </c>
      <c r="E23" s="50"/>
    </row>
    <row r="24" spans="3:5" ht="15.75" customHeight="1" x14ac:dyDescent="0.3">
      <c r="C24" s="453">
        <v>160.9</v>
      </c>
      <c r="D24" s="83">
        <f t="shared" si="0"/>
        <v>1.3402867004257406E-2</v>
      </c>
      <c r="E24" s="50"/>
    </row>
    <row r="25" spans="3:5" ht="15.75" customHeight="1" x14ac:dyDescent="0.3">
      <c r="C25" s="453">
        <v>140.93</v>
      </c>
      <c r="D25" s="83">
        <f>(C25-$C$38)/$C$38</f>
        <v>-0.11237497795581107</v>
      </c>
      <c r="E25" s="50"/>
    </row>
    <row r="26" spans="3:5" ht="15.75" customHeight="1" x14ac:dyDescent="0.3">
      <c r="C26" s="453">
        <v>158.97999999999999</v>
      </c>
      <c r="D26" s="83">
        <f t="shared" si="0"/>
        <v>1.3100546695887279E-3</v>
      </c>
      <c r="E26" s="50"/>
    </row>
    <row r="27" spans="3:5" ht="15.75" customHeight="1" x14ac:dyDescent="0.3">
      <c r="C27" s="453">
        <v>160.30000000000001</v>
      </c>
      <c r="D27" s="83">
        <f t="shared" si="0"/>
        <v>9.6238631496735113E-3</v>
      </c>
      <c r="E27" s="50"/>
    </row>
    <row r="28" spans="3:5" ht="15.75" customHeight="1" x14ac:dyDescent="0.3">
      <c r="C28" s="453">
        <v>162.59</v>
      </c>
      <c r="D28" s="83">
        <f t="shared" si="0"/>
        <v>2.4047061194668796E-2</v>
      </c>
      <c r="E28" s="50"/>
    </row>
    <row r="29" spans="3:5" ht="15.75" customHeight="1" x14ac:dyDescent="0.3">
      <c r="C29" s="453">
        <v>162.84</v>
      </c>
      <c r="D29" s="83">
        <f t="shared" si="0"/>
        <v>2.5621646134078767E-2</v>
      </c>
      <c r="E29" s="50"/>
    </row>
    <row r="30" spans="3:5" ht="15.75" customHeight="1" x14ac:dyDescent="0.3">
      <c r="C30" s="453">
        <v>160.05000000000001</v>
      </c>
      <c r="D30" s="83">
        <f t="shared" si="0"/>
        <v>8.0492782102635392E-3</v>
      </c>
      <c r="E30" s="50"/>
    </row>
    <row r="31" spans="3:5" ht="15.75" customHeight="1" x14ac:dyDescent="0.3">
      <c r="C31" s="453">
        <v>155.25</v>
      </c>
      <c r="D31" s="83">
        <f t="shared" si="0"/>
        <v>-2.2182752626407974E-2</v>
      </c>
      <c r="E31" s="50"/>
    </row>
    <row r="32" spans="3:5" ht="15.75" customHeight="1" x14ac:dyDescent="0.3">
      <c r="C32" s="453">
        <v>162.30000000000001</v>
      </c>
      <c r="D32" s="83">
        <f t="shared" si="0"/>
        <v>2.2220542664953279E-2</v>
      </c>
      <c r="E32" s="50"/>
    </row>
    <row r="33" spans="1:7" ht="15.75" customHeight="1" x14ac:dyDescent="0.3">
      <c r="C33" s="453">
        <v>159.97999999999999</v>
      </c>
      <c r="D33" s="83">
        <f t="shared" si="0"/>
        <v>7.608394427228612E-3</v>
      </c>
      <c r="E33" s="50"/>
    </row>
    <row r="34" spans="1:7" ht="15.75" customHeight="1" x14ac:dyDescent="0.3">
      <c r="C34" s="453">
        <v>156.94999999999999</v>
      </c>
      <c r="D34" s="83">
        <f t="shared" si="0"/>
        <v>-1.1475575038420244E-2</v>
      </c>
      <c r="E34" s="50"/>
    </row>
    <row r="35" spans="1:7" ht="16.5" customHeight="1" x14ac:dyDescent="0.3">
      <c r="C35" s="454">
        <v>156.80000000000001</v>
      </c>
      <c r="D35" s="84">
        <f t="shared" si="0"/>
        <v>-1.2420326002066084E-2</v>
      </c>
      <c r="E35" s="50"/>
    </row>
    <row r="36" spans="1:7" ht="16.5" customHeight="1" x14ac:dyDescent="0.3">
      <c r="C36" s="51"/>
      <c r="D36" s="50"/>
      <c r="E36" s="52"/>
    </row>
    <row r="37" spans="1:7" ht="16.5" customHeight="1" x14ac:dyDescent="0.3">
      <c r="B37" s="79" t="s">
        <v>42</v>
      </c>
      <c r="C37" s="455">
        <f>SUM(C16:C35)</f>
        <v>3175.440000000001</v>
      </c>
      <c r="D37" s="75"/>
      <c r="E37" s="51"/>
    </row>
    <row r="38" spans="1:7" ht="17.25" customHeight="1" x14ac:dyDescent="0.3">
      <c r="B38" s="79" t="s">
        <v>43</v>
      </c>
      <c r="C38" s="78">
        <f>AVERAGE(C16:C35)</f>
        <v>158.77200000000005</v>
      </c>
      <c r="E38" s="53"/>
    </row>
    <row r="39" spans="1:7" ht="17.25" customHeight="1" x14ac:dyDescent="0.3">
      <c r="A39" s="57"/>
      <c r="B39" s="76"/>
      <c r="D39" s="55"/>
      <c r="E39" s="53"/>
    </row>
    <row r="40" spans="1:7" ht="33.75" customHeight="1" x14ac:dyDescent="0.3">
      <c r="B40" s="87" t="s">
        <v>43</v>
      </c>
      <c r="C40" s="80" t="s">
        <v>44</v>
      </c>
      <c r="D40" s="77"/>
      <c r="G40" s="55"/>
    </row>
    <row r="41" spans="1:7" ht="17.25" customHeight="1" x14ac:dyDescent="0.3">
      <c r="B41" s="503">
        <f>C38</f>
        <v>158.77200000000005</v>
      </c>
      <c r="C41" s="88">
        <f>-IF(C38&lt;=80,10%,IF(C38&lt;250,7.5%,5%))</f>
        <v>-7.4999999999999997E-2</v>
      </c>
      <c r="D41" s="78">
        <f>IF(C38&lt;=80,C38*0.9,IF(C38&lt;250,C38*0.925,C38*0.95))</f>
        <v>146.86410000000006</v>
      </c>
    </row>
    <row r="42" spans="1:7" ht="17.25" customHeight="1" x14ac:dyDescent="0.3">
      <c r="B42" s="504"/>
      <c r="C42" s="89">
        <f>IF(C38&lt;=80, 10%, IF(C38&lt;250, 7.5%, 5%))</f>
        <v>7.4999999999999997E-2</v>
      </c>
      <c r="D42" s="78">
        <f>IF(C38&lt;=80, C38*1.1, IF(C38&lt;250, C38*1.075, C38*1.05))</f>
        <v>170.67990000000003</v>
      </c>
    </row>
    <row r="43" spans="1:7" ht="16.5" customHeight="1" x14ac:dyDescent="0.3">
      <c r="A43" s="60"/>
      <c r="B43" s="61"/>
      <c r="C43" s="57"/>
      <c r="D43" s="62"/>
      <c r="E43" s="57"/>
      <c r="F43" s="63"/>
    </row>
    <row r="44" spans="1:7" ht="16.5" customHeight="1" x14ac:dyDescent="0.3">
      <c r="A44" s="57"/>
      <c r="B44" s="64" t="s">
        <v>26</v>
      </c>
      <c r="C44" s="64"/>
      <c r="D44" s="65" t="s">
        <v>27</v>
      </c>
      <c r="E44" s="66"/>
      <c r="F44" s="65" t="s">
        <v>28</v>
      </c>
    </row>
    <row r="45" spans="1:7" ht="34.5" customHeight="1" x14ac:dyDescent="0.3">
      <c r="A45" s="67" t="s">
        <v>29</v>
      </c>
      <c r="B45" s="68" t="s">
        <v>124</v>
      </c>
      <c r="C45" s="69"/>
      <c r="D45" s="68" t="s">
        <v>125</v>
      </c>
      <c r="E45" s="58"/>
      <c r="F45" s="70"/>
    </row>
    <row r="46" spans="1:7" ht="34.5" customHeight="1" x14ac:dyDescent="0.3">
      <c r="A46" s="67" t="s">
        <v>30</v>
      </c>
      <c r="B46" s="71" t="s">
        <v>132</v>
      </c>
      <c r="C46" s="72"/>
      <c r="D46" s="71"/>
      <c r="E46" s="58"/>
      <c r="F46" s="73"/>
    </row>
  </sheetData>
  <sheetProtection formatCells="0" formatColumns="0" formatRows="0" insertColumns="0" insertRows="0" insertHyperlinks="0" deleteColumns="0" deleteRows="0" sort="0" autoFilter="0" pivotTables="0"/>
  <mergeCells count="12">
    <mergeCell ref="B41:B42"/>
    <mergeCell ref="A4:F4"/>
    <mergeCell ref="A3:F3"/>
    <mergeCell ref="A14:B14"/>
    <mergeCell ref="D14:E14"/>
    <mergeCell ref="A6:B6"/>
    <mergeCell ref="A7:B7"/>
    <mergeCell ref="A8:B8"/>
    <mergeCell ref="A9:B9"/>
    <mergeCell ref="A10:B10"/>
    <mergeCell ref="A11:B11"/>
    <mergeCell ref="A13:B13"/>
  </mergeCells>
  <conditionalFormatting sqref="D16">
    <cfRule type="cellIs" dxfId="37" priority="1" operator="notBetween">
      <formula>IF(C38&lt;=80,-10.5%,IF(C38&lt;250,-7.5%,-5.5%))</formula>
      <formula>IF(C38&lt;=80,10.5%, IF(C38&lt;250,7.5%, C38*5.5%))</formula>
    </cfRule>
  </conditionalFormatting>
  <conditionalFormatting sqref="D17">
    <cfRule type="cellIs" dxfId="36" priority="2" operator="notBetween">
      <formula>IF(C38&lt;=80,-10.5%,IF(C38&lt;250,-7.5%,-5.5%))</formula>
      <formula>IF(C38&lt;=80,10.5%, IF(C38&lt;250,7.5%, C38*5.5%))</formula>
    </cfRule>
  </conditionalFormatting>
  <conditionalFormatting sqref="D18">
    <cfRule type="cellIs" dxfId="35" priority="3" operator="notBetween">
      <formula>IF(C38&lt;=80,-10.5%,IF(C38&lt;250,-7.5%,-5.5%))</formula>
      <formula>IF(C38&lt;=80,10.5%, IF(C38&lt;250,7.5%, C38*5.5%))</formula>
    </cfRule>
  </conditionalFormatting>
  <conditionalFormatting sqref="D19">
    <cfRule type="cellIs" dxfId="34" priority="4" operator="notBetween">
      <formula>IF(C38&lt;=80,-10.5%,IF(C38&lt;250,-7.5%,-5.5%))</formula>
      <formula>IF(C38&lt;=80,10.5%, IF(C38&lt;250,7.5%, C38*5.5%))</formula>
    </cfRule>
  </conditionalFormatting>
  <conditionalFormatting sqref="D20">
    <cfRule type="cellIs" dxfId="33" priority="5" operator="notBetween">
      <formula>IF(C38&lt;=80,-10.5%,IF(C38&lt;250,-7.5%,-5.5%))</formula>
      <formula>IF(C38&lt;=80,10.5%, IF(C38&lt;250,7.5%, C38*5.5%))</formula>
    </cfRule>
  </conditionalFormatting>
  <conditionalFormatting sqref="D21">
    <cfRule type="cellIs" dxfId="32" priority="6" operator="notBetween">
      <formula>IF(C38&lt;=80,-10.5%,IF(C38&lt;250,-7.5%,-5.5%))</formula>
      <formula>IF(C38&lt;=80,10.5%, IF(C38&lt;250,7.5%, C38*5.5%))</formula>
    </cfRule>
  </conditionalFormatting>
  <conditionalFormatting sqref="D22">
    <cfRule type="cellIs" dxfId="31" priority="7" operator="notBetween">
      <formula>IF(C38&lt;=80,-10.5%,IF(C38&lt;250,-7.5%,-5.5%))</formula>
      <formula>IF(C38&lt;=80,10.5%, IF(C38&lt;250,7.5%, C38*5.5%))</formula>
    </cfRule>
  </conditionalFormatting>
  <conditionalFormatting sqref="D23">
    <cfRule type="cellIs" dxfId="30" priority="8" operator="notBetween">
      <formula>IF(C38&lt;=80,-10.5%,IF(C38&lt;250,-7.5%,-5.5%))</formula>
      <formula>IF(C38&lt;=80,10.5%, IF(C38&lt;250,7.5%, C38*5.5%))</formula>
    </cfRule>
  </conditionalFormatting>
  <conditionalFormatting sqref="D24:D25">
    <cfRule type="cellIs" dxfId="29" priority="9" operator="notBetween">
      <formula>IF(C38&lt;=80,-10.5%,IF(C38&lt;250,-7.5%,-5.5%))</formula>
      <formula>IF(C38&lt;=80,10.5%, IF(C38&lt;250,7.5%, C38*5.5%))</formula>
    </cfRule>
  </conditionalFormatting>
  <conditionalFormatting sqref="D26">
    <cfRule type="cellIs" dxfId="28" priority="11" operator="notBetween">
      <formula>IF(C38&lt;=80,-10.5%,IF(C38&lt;250,-7.5%,-5.5%))</formula>
      <formula>IF(C38&lt;=80,10.5%, IF(C38&lt;250,7.5%, C38*5.5%))</formula>
    </cfRule>
  </conditionalFormatting>
  <conditionalFormatting sqref="D27">
    <cfRule type="cellIs" dxfId="27" priority="12" operator="notBetween">
      <formula>IF(C38&lt;=80,-10.5%,IF(C38&lt;250,-7.5%,-5.5%))</formula>
      <formula>IF(C38&lt;=80,10.5%, IF(C38&lt;250,7.5%, C38*5.5%))</formula>
    </cfRule>
  </conditionalFormatting>
  <conditionalFormatting sqref="D28">
    <cfRule type="cellIs" dxfId="26" priority="13" operator="notBetween">
      <formula>IF(C38&lt;=80,-10.5%,IF(C38&lt;250,-7.5%,-5.5%))</formula>
      <formula>IF(C38&lt;=80,10.5%, IF(C38&lt;250,7.5%, C38*5.5%))</formula>
    </cfRule>
  </conditionalFormatting>
  <conditionalFormatting sqref="D29">
    <cfRule type="cellIs" dxfId="25" priority="14" operator="notBetween">
      <formula>IF(C38&lt;=80,-10.5%,IF(C38&lt;250,-7.5%,-5.5%))</formula>
      <formula>IF(C38&lt;=80,10.5%, IF(C38&lt;250,7.5%, C38*5.5%))</formula>
    </cfRule>
  </conditionalFormatting>
  <conditionalFormatting sqref="D30">
    <cfRule type="cellIs" dxfId="24" priority="15" operator="notBetween">
      <formula>IF(C38&lt;=80,-10.5%,IF(C38&lt;250,-7.5%,-5.5%))</formula>
      <formula>IF(C38&lt;=80,10.5%, IF(C38&lt;250,7.5%, C38*5.5%))</formula>
    </cfRule>
  </conditionalFormatting>
  <conditionalFormatting sqref="D31">
    <cfRule type="cellIs" dxfId="23" priority="16" operator="notBetween">
      <formula>IF(C38&lt;=80,-10.5%,IF(C38&lt;250,-7.5%,-5.5%))</formula>
      <formula>IF(C38&lt;=80,10.5%, IF(C38&lt;250,7.5%, C38*5.5%))</formula>
    </cfRule>
  </conditionalFormatting>
  <conditionalFormatting sqref="D32">
    <cfRule type="cellIs" dxfId="22" priority="17" operator="notBetween">
      <formula>IF(C38&lt;=80,-10.5%,IF(C38&lt;250,-7.5%,-5.5%))</formula>
      <formula>IF(C38&lt;=80,10.5%, IF(C38&lt;250,7.5%, C38*5.5%))</formula>
    </cfRule>
  </conditionalFormatting>
  <conditionalFormatting sqref="D33">
    <cfRule type="cellIs" dxfId="21" priority="18" operator="notBetween">
      <formula>IF(C38&lt;=80,-10.5%,IF(C38&lt;250,-7.5%,-5.5%))</formula>
      <formula>IF(C38&lt;=80,10.5%, IF(C38&lt;250,7.5%, C38*5.5%))</formula>
    </cfRule>
  </conditionalFormatting>
  <conditionalFormatting sqref="D34">
    <cfRule type="cellIs" dxfId="20" priority="19" operator="notBetween">
      <formula>IF(C38&lt;=80,-10.5%,IF(C38&lt;250,-7.5%,-5.5%))</formula>
      <formula>IF(C38&lt;=80,10.5%, IF(C38&lt;250,7.5%, C38*5.5%))</formula>
    </cfRule>
  </conditionalFormatting>
  <conditionalFormatting sqref="D35">
    <cfRule type="cellIs" dxfId="19" priority="20" operator="notBetween">
      <formula>IF(C38&lt;=80,-10.5%,IF(C38&lt;250,-7.5%,-5.5%))</formula>
      <formula>IF(C38&lt;=80,10.5%, IF(C38&lt;250,7.5%, C38*5.5%))</formula>
    </cfRule>
  </conditionalFormatting>
  <conditionalFormatting sqref="D36">
    <cfRule type="cellIs" dxfId="18" priority="21" operator="notBetween">
      <formula>IF(C38&lt;=80,-10.5%,IF(C38&lt;250,-7.5%,-5.5%))</formula>
      <formula>IF(C38&lt;=80,10.5%, IF(C38&lt;250,7.5%, C38*5.5%))</formula>
    </cfRule>
  </conditionalFormatting>
  <pageMargins left="0.75" right="0.75" top="1" bottom="1" header="0.5" footer="0.5"/>
  <pageSetup scale="6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1"/>
  <sheetViews>
    <sheetView tabSelected="1" topLeftCell="A104" zoomScale="70" zoomScaleNormal="70" zoomScaleSheetLayoutView="40" zoomScalePageLayoutView="50" workbookViewId="0">
      <selection activeCell="D115" sqref="D115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39" t="s">
        <v>45</v>
      </c>
      <c r="B1" s="539"/>
      <c r="C1" s="539"/>
      <c r="D1" s="539"/>
      <c r="E1" s="539"/>
      <c r="F1" s="539"/>
      <c r="G1" s="539"/>
      <c r="H1" s="539"/>
      <c r="I1" s="539"/>
    </row>
    <row r="2" spans="1:9" ht="18.75" customHeight="1" x14ac:dyDescent="0.3">
      <c r="A2" s="539"/>
      <c r="B2" s="539"/>
      <c r="C2" s="539"/>
      <c r="D2" s="539"/>
      <c r="E2" s="539"/>
      <c r="F2" s="539"/>
      <c r="G2" s="539"/>
      <c r="H2" s="539"/>
      <c r="I2" s="539"/>
    </row>
    <row r="3" spans="1:9" ht="18.75" customHeight="1" x14ac:dyDescent="0.3">
      <c r="A3" s="539"/>
      <c r="B3" s="539"/>
      <c r="C3" s="539"/>
      <c r="D3" s="539"/>
      <c r="E3" s="539"/>
      <c r="F3" s="539"/>
      <c r="G3" s="539"/>
      <c r="H3" s="539"/>
      <c r="I3" s="539"/>
    </row>
    <row r="4" spans="1:9" ht="18.75" customHeight="1" x14ac:dyDescent="0.3">
      <c r="A4" s="539"/>
      <c r="B4" s="539"/>
      <c r="C4" s="539"/>
      <c r="D4" s="539"/>
      <c r="E4" s="539"/>
      <c r="F4" s="539"/>
      <c r="G4" s="539"/>
      <c r="H4" s="539"/>
      <c r="I4" s="539"/>
    </row>
    <row r="5" spans="1:9" ht="18.75" customHeight="1" x14ac:dyDescent="0.3">
      <c r="A5" s="539"/>
      <c r="B5" s="539"/>
      <c r="C5" s="539"/>
      <c r="D5" s="539"/>
      <c r="E5" s="539"/>
      <c r="F5" s="539"/>
      <c r="G5" s="539"/>
      <c r="H5" s="539"/>
      <c r="I5" s="539"/>
    </row>
    <row r="6" spans="1:9" ht="18.75" customHeight="1" x14ac:dyDescent="0.3">
      <c r="A6" s="539"/>
      <c r="B6" s="539"/>
      <c r="C6" s="539"/>
      <c r="D6" s="539"/>
      <c r="E6" s="539"/>
      <c r="F6" s="539"/>
      <c r="G6" s="539"/>
      <c r="H6" s="539"/>
      <c r="I6" s="539"/>
    </row>
    <row r="7" spans="1:9" ht="18.75" customHeight="1" x14ac:dyDescent="0.3">
      <c r="A7" s="539"/>
      <c r="B7" s="539"/>
      <c r="C7" s="539"/>
      <c r="D7" s="539"/>
      <c r="E7" s="539"/>
      <c r="F7" s="539"/>
      <c r="G7" s="539"/>
      <c r="H7" s="539"/>
      <c r="I7" s="539"/>
    </row>
    <row r="8" spans="1:9" x14ac:dyDescent="0.3">
      <c r="A8" s="540" t="s">
        <v>46</v>
      </c>
      <c r="B8" s="540"/>
      <c r="C8" s="540"/>
      <c r="D8" s="540"/>
      <c r="E8" s="540"/>
      <c r="F8" s="540"/>
      <c r="G8" s="540"/>
      <c r="H8" s="540"/>
      <c r="I8" s="540"/>
    </row>
    <row r="9" spans="1:9" x14ac:dyDescent="0.3">
      <c r="A9" s="540"/>
      <c r="B9" s="540"/>
      <c r="C9" s="540"/>
      <c r="D9" s="540"/>
      <c r="E9" s="540"/>
      <c r="F9" s="540"/>
      <c r="G9" s="540"/>
      <c r="H9" s="540"/>
      <c r="I9" s="540"/>
    </row>
    <row r="10" spans="1:9" x14ac:dyDescent="0.3">
      <c r="A10" s="540"/>
      <c r="B10" s="540"/>
      <c r="C10" s="540"/>
      <c r="D10" s="540"/>
      <c r="E10" s="540"/>
      <c r="F10" s="540"/>
      <c r="G10" s="540"/>
      <c r="H10" s="540"/>
      <c r="I10" s="540"/>
    </row>
    <row r="11" spans="1:9" x14ac:dyDescent="0.3">
      <c r="A11" s="540"/>
      <c r="B11" s="540"/>
      <c r="C11" s="540"/>
      <c r="D11" s="540"/>
      <c r="E11" s="540"/>
      <c r="F11" s="540"/>
      <c r="G11" s="540"/>
      <c r="H11" s="540"/>
      <c r="I11" s="540"/>
    </row>
    <row r="12" spans="1:9" x14ac:dyDescent="0.3">
      <c r="A12" s="540"/>
      <c r="B12" s="540"/>
      <c r="C12" s="540"/>
      <c r="D12" s="540"/>
      <c r="E12" s="540"/>
      <c r="F12" s="540"/>
      <c r="G12" s="540"/>
      <c r="H12" s="540"/>
      <c r="I12" s="540"/>
    </row>
    <row r="13" spans="1:9" x14ac:dyDescent="0.3">
      <c r="A13" s="540"/>
      <c r="B13" s="540"/>
      <c r="C13" s="540"/>
      <c r="D13" s="540"/>
      <c r="E13" s="540"/>
      <c r="F13" s="540"/>
      <c r="G13" s="540"/>
      <c r="H13" s="540"/>
      <c r="I13" s="540"/>
    </row>
    <row r="14" spans="1:9" x14ac:dyDescent="0.3">
      <c r="A14" s="540"/>
      <c r="B14" s="540"/>
      <c r="C14" s="540"/>
      <c r="D14" s="540"/>
      <c r="E14" s="540"/>
      <c r="F14" s="540"/>
      <c r="G14" s="540"/>
      <c r="H14" s="540"/>
      <c r="I14" s="540"/>
    </row>
    <row r="15" spans="1:9" ht="19.5" customHeight="1" x14ac:dyDescent="0.35">
      <c r="A15" s="91"/>
    </row>
    <row r="16" spans="1:9" ht="19.5" customHeight="1" x14ac:dyDescent="0.35">
      <c r="A16" s="511" t="s">
        <v>31</v>
      </c>
      <c r="B16" s="512"/>
      <c r="C16" s="512"/>
      <c r="D16" s="512"/>
      <c r="E16" s="512"/>
      <c r="F16" s="512"/>
      <c r="G16" s="512"/>
      <c r="H16" s="513"/>
    </row>
    <row r="17" spans="1:14" ht="20.25" customHeight="1" x14ac:dyDescent="0.3">
      <c r="A17" s="514" t="s">
        <v>47</v>
      </c>
      <c r="B17" s="514"/>
      <c r="C17" s="514"/>
      <c r="D17" s="514"/>
      <c r="E17" s="514"/>
      <c r="F17" s="514"/>
      <c r="G17" s="514"/>
      <c r="H17" s="514"/>
    </row>
    <row r="18" spans="1:14" ht="26.25" customHeight="1" x14ac:dyDescent="0.5">
      <c r="A18" s="93" t="s">
        <v>33</v>
      </c>
      <c r="B18" s="459" t="s">
        <v>5</v>
      </c>
      <c r="C18" s="458"/>
      <c r="D18" s="248"/>
      <c r="E18" s="94"/>
      <c r="F18" s="95"/>
      <c r="G18" s="95"/>
      <c r="H18" s="95"/>
    </row>
    <row r="19" spans="1:14" ht="26.25" customHeight="1" x14ac:dyDescent="0.5">
      <c r="A19" s="93" t="s">
        <v>34</v>
      </c>
      <c r="B19" s="274" t="s">
        <v>7</v>
      </c>
      <c r="C19" s="260">
        <v>29</v>
      </c>
      <c r="D19" s="95"/>
      <c r="E19" s="95"/>
      <c r="F19" s="95"/>
      <c r="G19" s="95"/>
      <c r="H19" s="95"/>
    </row>
    <row r="20" spans="1:14" ht="26.25" customHeight="1" x14ac:dyDescent="0.5">
      <c r="A20" s="93" t="s">
        <v>35</v>
      </c>
      <c r="B20" s="515" t="s">
        <v>9</v>
      </c>
      <c r="C20" s="515"/>
      <c r="D20" s="95"/>
      <c r="E20" s="95"/>
      <c r="F20" s="95"/>
      <c r="G20" s="95"/>
      <c r="H20" s="95"/>
    </row>
    <row r="21" spans="1:14" ht="26.25" customHeight="1" x14ac:dyDescent="0.5">
      <c r="A21" s="93" t="s">
        <v>36</v>
      </c>
      <c r="B21" s="515" t="s">
        <v>11</v>
      </c>
      <c r="C21" s="515"/>
      <c r="D21" s="515"/>
      <c r="E21" s="515"/>
      <c r="F21" s="515"/>
      <c r="G21" s="515"/>
      <c r="H21" s="515"/>
      <c r="I21" s="96"/>
    </row>
    <row r="22" spans="1:14" ht="26.25" customHeight="1" x14ac:dyDescent="0.5">
      <c r="A22" s="93" t="s">
        <v>37</v>
      </c>
      <c r="B22" s="97">
        <v>42319</v>
      </c>
      <c r="C22" s="95"/>
      <c r="D22" s="95"/>
      <c r="E22" s="95"/>
      <c r="F22" s="95"/>
      <c r="G22" s="95"/>
      <c r="H22" s="95"/>
    </row>
    <row r="23" spans="1:14" ht="26.25" customHeight="1" x14ac:dyDescent="0.5">
      <c r="A23" s="93" t="s">
        <v>38</v>
      </c>
      <c r="B23" s="97">
        <v>42346</v>
      </c>
      <c r="C23" s="95"/>
      <c r="D23" s="95"/>
      <c r="E23" s="95"/>
      <c r="F23" s="95"/>
      <c r="G23" s="95"/>
      <c r="H23" s="95"/>
    </row>
    <row r="24" spans="1:14" ht="18" x14ac:dyDescent="0.35">
      <c r="A24" s="93"/>
      <c r="B24" s="98"/>
    </row>
    <row r="25" spans="1:14" ht="18" x14ac:dyDescent="0.35">
      <c r="A25" s="99" t="s">
        <v>1</v>
      </c>
      <c r="B25" s="98"/>
    </row>
    <row r="26" spans="1:14" ht="26.25" customHeight="1" x14ac:dyDescent="0.45">
      <c r="A26" s="100" t="s">
        <v>4</v>
      </c>
      <c r="B26" s="459" t="s">
        <v>126</v>
      </c>
      <c r="C26" s="458"/>
    </row>
    <row r="27" spans="1:14" ht="26.25" customHeight="1" x14ac:dyDescent="0.5">
      <c r="A27" s="101" t="s">
        <v>48</v>
      </c>
      <c r="B27" s="274" t="s">
        <v>127</v>
      </c>
      <c r="C27" s="274"/>
    </row>
    <row r="28" spans="1:14" ht="27" customHeight="1" thickBot="1" x14ac:dyDescent="0.5">
      <c r="A28" s="101" t="s">
        <v>6</v>
      </c>
      <c r="B28" s="102">
        <v>101.74</v>
      </c>
    </row>
    <row r="29" spans="1:14" s="456" customFormat="1" ht="27" customHeight="1" thickBot="1" x14ac:dyDescent="0.55000000000000004">
      <c r="A29" s="101" t="s">
        <v>49</v>
      </c>
      <c r="B29" s="103">
        <v>0</v>
      </c>
      <c r="C29" s="516" t="s">
        <v>50</v>
      </c>
      <c r="D29" s="517"/>
      <c r="E29" s="517"/>
      <c r="F29" s="517"/>
      <c r="G29" s="518"/>
      <c r="I29" s="104"/>
      <c r="J29" s="104"/>
      <c r="K29" s="104"/>
      <c r="L29" s="104"/>
    </row>
    <row r="30" spans="1:14" s="456" customFormat="1" ht="19.5" customHeight="1" thickBot="1" x14ac:dyDescent="0.4">
      <c r="A30" s="101" t="s">
        <v>51</v>
      </c>
      <c r="B30" s="105">
        <f>B28-B29</f>
        <v>101.74</v>
      </c>
      <c r="C30" s="480"/>
      <c r="D30" s="481"/>
      <c r="E30" s="481"/>
      <c r="F30" s="481"/>
      <c r="G30" s="482"/>
      <c r="I30" s="104"/>
      <c r="J30" s="104"/>
      <c r="K30" s="104"/>
      <c r="L30" s="104"/>
    </row>
    <row r="31" spans="1:14" s="456" customFormat="1" ht="27" customHeight="1" thickBot="1" x14ac:dyDescent="0.5">
      <c r="A31" s="101" t="s">
        <v>52</v>
      </c>
      <c r="B31" s="106">
        <v>1</v>
      </c>
      <c r="C31" s="519" t="s">
        <v>53</v>
      </c>
      <c r="D31" s="520"/>
      <c r="E31" s="520"/>
      <c r="F31" s="520"/>
      <c r="G31" s="520"/>
      <c r="H31" s="521"/>
      <c r="I31" s="104"/>
      <c r="J31" s="104"/>
      <c r="K31" s="104"/>
      <c r="L31" s="104"/>
    </row>
    <row r="32" spans="1:14" s="456" customFormat="1" ht="27" customHeight="1" thickBot="1" x14ac:dyDescent="0.5">
      <c r="A32" s="101" t="s">
        <v>54</v>
      </c>
      <c r="B32" s="106">
        <v>1</v>
      </c>
      <c r="C32" s="522" t="s">
        <v>55</v>
      </c>
      <c r="D32" s="523"/>
      <c r="E32" s="523"/>
      <c r="F32" s="523"/>
      <c r="G32" s="523"/>
      <c r="H32" s="524"/>
      <c r="I32" s="104"/>
      <c r="J32" s="104"/>
      <c r="K32" s="104"/>
      <c r="L32" s="107"/>
      <c r="M32" s="483"/>
      <c r="N32" s="484"/>
    </row>
    <row r="33" spans="1:14" s="456" customFormat="1" ht="17.25" customHeight="1" x14ac:dyDescent="0.35">
      <c r="A33" s="101"/>
      <c r="B33" s="108"/>
      <c r="C33" s="109"/>
      <c r="D33" s="109"/>
      <c r="E33" s="109"/>
      <c r="F33" s="109"/>
      <c r="G33" s="109"/>
      <c r="H33" s="109"/>
      <c r="I33" s="104"/>
      <c r="J33" s="104"/>
      <c r="K33" s="104"/>
      <c r="L33" s="107"/>
      <c r="M33" s="483"/>
      <c r="N33" s="484"/>
    </row>
    <row r="34" spans="1:14" s="456" customFormat="1" ht="18" x14ac:dyDescent="0.35">
      <c r="A34" s="101" t="s">
        <v>56</v>
      </c>
      <c r="B34" s="110">
        <f>B31/B32</f>
        <v>1</v>
      </c>
      <c r="C34" s="92" t="s">
        <v>57</v>
      </c>
      <c r="D34" s="92"/>
      <c r="E34" s="92"/>
      <c r="F34" s="92"/>
      <c r="G34" s="92"/>
      <c r="I34" s="104"/>
      <c r="J34" s="104"/>
      <c r="K34" s="104"/>
      <c r="L34" s="107"/>
      <c r="M34" s="483"/>
      <c r="N34" s="484"/>
    </row>
    <row r="35" spans="1:14" s="456" customFormat="1" ht="19.5" customHeight="1" thickBot="1" x14ac:dyDescent="0.4">
      <c r="A35" s="101"/>
      <c r="B35" s="105"/>
      <c r="G35" s="92"/>
      <c r="I35" s="104"/>
      <c r="J35" s="104"/>
      <c r="K35" s="104"/>
      <c r="L35" s="107"/>
      <c r="M35" s="483"/>
      <c r="N35" s="484"/>
    </row>
    <row r="36" spans="1:14" s="456" customFormat="1" ht="27" customHeight="1" thickBot="1" x14ac:dyDescent="0.5">
      <c r="A36" s="111" t="s">
        <v>58</v>
      </c>
      <c r="B36" s="461">
        <v>100</v>
      </c>
      <c r="C36" s="466"/>
      <c r="D36" s="525" t="s">
        <v>59</v>
      </c>
      <c r="E36" s="526"/>
      <c r="F36" s="527" t="s">
        <v>60</v>
      </c>
      <c r="G36" s="528"/>
      <c r="I36" s="462"/>
      <c r="J36" s="104"/>
      <c r="K36" s="104"/>
      <c r="L36" s="107"/>
      <c r="M36" s="483"/>
      <c r="N36" s="484"/>
    </row>
    <row r="37" spans="1:14" s="456" customFormat="1" ht="27" customHeight="1" thickBot="1" x14ac:dyDescent="0.5">
      <c r="A37" s="113" t="s">
        <v>61</v>
      </c>
      <c r="B37" s="114">
        <v>1</v>
      </c>
      <c r="C37" s="463" t="s">
        <v>62</v>
      </c>
      <c r="D37" s="464" t="s">
        <v>63</v>
      </c>
      <c r="E37" s="465" t="s">
        <v>64</v>
      </c>
      <c r="F37" s="470" t="s">
        <v>63</v>
      </c>
      <c r="G37" s="471" t="s">
        <v>64</v>
      </c>
      <c r="I37" s="467" t="s">
        <v>65</v>
      </c>
      <c r="J37" s="104"/>
      <c r="K37" s="104"/>
      <c r="L37" s="107"/>
      <c r="M37" s="483"/>
      <c r="N37" s="484"/>
    </row>
    <row r="38" spans="1:14" s="456" customFormat="1" ht="26.25" customHeight="1" x14ac:dyDescent="0.45">
      <c r="A38" s="113" t="s">
        <v>66</v>
      </c>
      <c r="B38" s="114">
        <v>1</v>
      </c>
      <c r="C38" s="119">
        <v>1</v>
      </c>
      <c r="D38" s="120">
        <v>135619595</v>
      </c>
      <c r="E38" s="121">
        <f>IF(ISBLANK(D38),"-",$D$48/$D$45*D38)</f>
        <v>131029002.6281883</v>
      </c>
      <c r="F38" s="472">
        <v>157616442</v>
      </c>
      <c r="G38" s="473">
        <f>IF(ISBLANK(F38),"-",$D$48/$F$45*F38)</f>
        <v>130992801.35562301</v>
      </c>
      <c r="I38" s="468"/>
      <c r="J38" s="104"/>
      <c r="K38" s="104"/>
      <c r="L38" s="107"/>
      <c r="M38" s="483"/>
      <c r="N38" s="484"/>
    </row>
    <row r="39" spans="1:14" s="456" customFormat="1" ht="26.25" customHeight="1" x14ac:dyDescent="0.45">
      <c r="A39" s="113" t="s">
        <v>67</v>
      </c>
      <c r="B39" s="114">
        <v>1</v>
      </c>
      <c r="C39" s="124">
        <v>2</v>
      </c>
      <c r="D39" s="125">
        <v>136731682</v>
      </c>
      <c r="E39" s="126">
        <f>IF(ISBLANK(D39),"-",$D$48/$D$45*D39)</f>
        <v>132103446.55677968</v>
      </c>
      <c r="F39" s="474">
        <v>157593998</v>
      </c>
      <c r="G39" s="475">
        <f>IF(ISBLANK(F39),"-",$D$48/$F$45*F39)</f>
        <v>130974148.4638541</v>
      </c>
      <c r="I39" s="529">
        <f>ABS((F43/D43*D42)-F42)/D42</f>
        <v>3.687617090233655E-3</v>
      </c>
      <c r="J39" s="104"/>
      <c r="K39" s="104"/>
      <c r="L39" s="107"/>
      <c r="M39" s="483"/>
      <c r="N39" s="484"/>
    </row>
    <row r="40" spans="1:14" ht="26.25" customHeight="1" x14ac:dyDescent="0.45">
      <c r="A40" s="113" t="s">
        <v>68</v>
      </c>
      <c r="B40" s="114">
        <v>1</v>
      </c>
      <c r="C40" s="124">
        <v>3</v>
      </c>
      <c r="D40" s="125">
        <v>137317329</v>
      </c>
      <c r="E40" s="126">
        <f>IF(ISBLANK(D40),"-",$D$48/$D$45*D40)</f>
        <v>132669269.9711778</v>
      </c>
      <c r="F40" s="474">
        <v>159525325</v>
      </c>
      <c r="G40" s="475">
        <f>IF(ISBLANK(F40),"-",$D$48/$F$45*F40)</f>
        <v>132579247.08715479</v>
      </c>
      <c r="I40" s="530"/>
      <c r="L40" s="107"/>
      <c r="M40" s="107"/>
      <c r="N40" s="128"/>
    </row>
    <row r="41" spans="1:14" ht="27" customHeight="1" x14ac:dyDescent="0.45">
      <c r="A41" s="113" t="s">
        <v>69</v>
      </c>
      <c r="B41" s="114">
        <v>1</v>
      </c>
      <c r="C41" s="129">
        <v>4</v>
      </c>
      <c r="D41" s="130"/>
      <c r="E41" s="131" t="str">
        <f>IF(ISBLANK(D41),"-",$D$48/$D$45*D41)</f>
        <v>-</v>
      </c>
      <c r="F41" s="476"/>
      <c r="G41" s="477" t="str">
        <f>IF(ISBLANK(F41),"-",$D$48/$F$45*F41)</f>
        <v>-</v>
      </c>
      <c r="I41" s="133"/>
      <c r="L41" s="107"/>
      <c r="M41" s="107"/>
      <c r="N41" s="128"/>
    </row>
    <row r="42" spans="1:14" ht="27" customHeight="1" thickBot="1" x14ac:dyDescent="0.5">
      <c r="A42" s="113" t="s">
        <v>70</v>
      </c>
      <c r="B42" s="114">
        <v>1</v>
      </c>
      <c r="C42" s="134" t="s">
        <v>71</v>
      </c>
      <c r="D42" s="135">
        <f>AVERAGE(D38:D41)</f>
        <v>136556202</v>
      </c>
      <c r="E42" s="136">
        <f>AVERAGE(E38:E41)</f>
        <v>131933906.38538194</v>
      </c>
      <c r="F42" s="478">
        <f>AVERAGE(F38:F41)</f>
        <v>158245255</v>
      </c>
      <c r="G42" s="479">
        <f>AVERAGE(G38:G41)</f>
        <v>131515398.9688773</v>
      </c>
      <c r="H42" s="137"/>
    </row>
    <row r="43" spans="1:14" ht="26.25" customHeight="1" x14ac:dyDescent="0.45">
      <c r="A43" s="113" t="s">
        <v>72</v>
      </c>
      <c r="B43" s="114">
        <v>1</v>
      </c>
      <c r="C43" s="138" t="s">
        <v>73</v>
      </c>
      <c r="D43" s="139">
        <v>15.26</v>
      </c>
      <c r="E43" s="128"/>
      <c r="F43" s="469">
        <v>17.739999999999998</v>
      </c>
      <c r="H43" s="137"/>
    </row>
    <row r="44" spans="1:14" ht="26.25" customHeight="1" x14ac:dyDescent="0.45">
      <c r="A44" s="113" t="s">
        <v>74</v>
      </c>
      <c r="B44" s="114">
        <v>1</v>
      </c>
      <c r="C44" s="140" t="s">
        <v>75</v>
      </c>
      <c r="D44" s="141">
        <f>D43*$B$34</f>
        <v>15.26</v>
      </c>
      <c r="E44" s="142"/>
      <c r="F44" s="141">
        <f>F43*$B$34</f>
        <v>17.739999999999998</v>
      </c>
      <c r="H44" s="137"/>
    </row>
    <row r="45" spans="1:14" ht="19.5" customHeight="1" x14ac:dyDescent="0.35">
      <c r="A45" s="113" t="s">
        <v>76</v>
      </c>
      <c r="B45" s="143">
        <f>(B44/B43)*(B42/B41)*(B40/B39)*(B38/B37)*B36</f>
        <v>100</v>
      </c>
      <c r="C45" s="140" t="s">
        <v>77</v>
      </c>
      <c r="D45" s="144">
        <f>D44*$B$30/100</f>
        <v>15.525523999999997</v>
      </c>
      <c r="E45" s="145"/>
      <c r="F45" s="144">
        <f>F44*$B$30/100</f>
        <v>18.048675999999997</v>
      </c>
      <c r="H45" s="137"/>
    </row>
    <row r="46" spans="1:14" ht="19.5" customHeight="1" x14ac:dyDescent="0.35">
      <c r="A46" s="531" t="s">
        <v>78</v>
      </c>
      <c r="B46" s="532"/>
      <c r="C46" s="140" t="s">
        <v>134</v>
      </c>
      <c r="D46" s="146">
        <f>D45/$B$45</f>
        <v>0.15525523999999996</v>
      </c>
      <c r="E46" s="147"/>
      <c r="F46" s="148">
        <f>F45/$B$45</f>
        <v>0.18048675999999997</v>
      </c>
      <c r="H46" s="137"/>
    </row>
    <row r="47" spans="1:14" ht="27" customHeight="1" x14ac:dyDescent="0.45">
      <c r="A47" s="522"/>
      <c r="B47" s="524"/>
      <c r="C47" s="149" t="s">
        <v>80</v>
      </c>
      <c r="D47" s="150">
        <v>0.15</v>
      </c>
      <c r="E47" s="151"/>
      <c r="F47" s="147"/>
      <c r="H47" s="137"/>
    </row>
    <row r="48" spans="1:14" ht="18" x14ac:dyDescent="0.35">
      <c r="C48" s="152" t="s">
        <v>81</v>
      </c>
      <c r="D48" s="144">
        <f>D47*$B$45</f>
        <v>15</v>
      </c>
      <c r="F48" s="153"/>
      <c r="H48" s="137"/>
    </row>
    <row r="49" spans="1:12" ht="19.5" customHeight="1" x14ac:dyDescent="0.35">
      <c r="C49" s="154" t="s">
        <v>82</v>
      </c>
      <c r="D49" s="155">
        <f>D48/B34</f>
        <v>15</v>
      </c>
      <c r="F49" s="153"/>
      <c r="H49" s="137"/>
    </row>
    <row r="50" spans="1:12" ht="18" x14ac:dyDescent="0.35">
      <c r="C50" s="111" t="s">
        <v>83</v>
      </c>
      <c r="D50" s="156">
        <f>AVERAGE(E38:E41,G38:G41)</f>
        <v>131724652.67712961</v>
      </c>
      <c r="F50" s="157"/>
      <c r="H50" s="137"/>
    </row>
    <row r="51" spans="1:12" ht="18" x14ac:dyDescent="0.35">
      <c r="C51" s="113" t="s">
        <v>84</v>
      </c>
      <c r="D51" s="158">
        <f>STDEV(E38:E41,G38:G41)/D50</f>
        <v>6.2129761202636942E-3</v>
      </c>
      <c r="F51" s="157"/>
      <c r="H51" s="137"/>
    </row>
    <row r="52" spans="1:12" ht="19.5" customHeight="1" x14ac:dyDescent="0.35">
      <c r="C52" s="159" t="s">
        <v>20</v>
      </c>
      <c r="D52" s="160">
        <f>COUNT(E38:E41,G38:G41)</f>
        <v>6</v>
      </c>
      <c r="F52" s="157"/>
    </row>
    <row r="54" spans="1:12" ht="18" x14ac:dyDescent="0.35">
      <c r="A54" s="161" t="s">
        <v>1</v>
      </c>
      <c r="B54" s="162" t="s">
        <v>85</v>
      </c>
    </row>
    <row r="55" spans="1:12" ht="18" x14ac:dyDescent="0.35">
      <c r="A55" s="92" t="s">
        <v>86</v>
      </c>
      <c r="B55" s="163" t="str">
        <f>B21</f>
        <v>Each film coated tablet contains Lamivudine (3TC) USP 30 mg and Zidovudine (AZT) USP 60 mg.</v>
      </c>
    </row>
    <row r="56" spans="1:12" ht="26.25" customHeight="1" x14ac:dyDescent="0.45">
      <c r="A56" s="164" t="s">
        <v>87</v>
      </c>
      <c r="B56" s="165">
        <v>30</v>
      </c>
      <c r="C56" s="92" t="str">
        <f>B26</f>
        <v>Lamivudine</v>
      </c>
      <c r="H56" s="166"/>
    </row>
    <row r="57" spans="1:12" ht="18" x14ac:dyDescent="0.35">
      <c r="A57" s="163" t="s">
        <v>133</v>
      </c>
      <c r="B57" s="249">
        <f>Uniformity!C38</f>
        <v>158.77200000000005</v>
      </c>
      <c r="H57" s="166"/>
    </row>
    <row r="58" spans="1:12" ht="19.5" customHeight="1" x14ac:dyDescent="0.35">
      <c r="H58" s="166"/>
    </row>
    <row r="59" spans="1:12" s="456" customFormat="1" ht="27" customHeight="1" x14ac:dyDescent="0.45">
      <c r="A59" s="111" t="s">
        <v>89</v>
      </c>
      <c r="B59" s="112">
        <v>25</v>
      </c>
      <c r="C59" s="92"/>
      <c r="D59" s="167" t="s">
        <v>90</v>
      </c>
      <c r="E59" s="168" t="s">
        <v>62</v>
      </c>
      <c r="F59" s="168" t="s">
        <v>63</v>
      </c>
      <c r="G59" s="168" t="s">
        <v>91</v>
      </c>
      <c r="H59" s="115" t="s">
        <v>92</v>
      </c>
      <c r="I59" s="15"/>
      <c r="L59" s="104"/>
    </row>
    <row r="60" spans="1:12" s="456" customFormat="1" ht="26.25" customHeight="1" x14ac:dyDescent="0.45">
      <c r="A60" s="113" t="s">
        <v>93</v>
      </c>
      <c r="B60" s="114">
        <v>3</v>
      </c>
      <c r="C60" s="533" t="s">
        <v>94</v>
      </c>
      <c r="D60" s="536">
        <v>159.75</v>
      </c>
      <c r="E60" s="169">
        <v>1</v>
      </c>
      <c r="F60" s="170">
        <v>126881444</v>
      </c>
      <c r="G60" s="250">
        <f>IF(ISBLANK(F60),"-",(F60/$D$50*$D$47*$B$68)*($B$57/$D$60))</f>
        <v>29.916729921396588</v>
      </c>
      <c r="H60" s="171">
        <f>IF(ISBLANK(F60),"-",G60/$B$56)</f>
        <v>0.99722433071321959</v>
      </c>
      <c r="I60" s="15"/>
      <c r="L60" s="104"/>
    </row>
    <row r="61" spans="1:12" s="456" customFormat="1" ht="26.25" customHeight="1" x14ac:dyDescent="0.45">
      <c r="A61" s="113" t="s">
        <v>95</v>
      </c>
      <c r="B61" s="114">
        <v>25</v>
      </c>
      <c r="C61" s="534"/>
      <c r="D61" s="537"/>
      <c r="E61" s="172">
        <v>2</v>
      </c>
      <c r="F61" s="125">
        <v>127103007</v>
      </c>
      <c r="G61" s="251">
        <f>IF(ISBLANK(F61),"-",(F61/$D$50*$D$47*$B$68)*($B$57/$D$60))</f>
        <v>29.968971133528239</v>
      </c>
      <c r="H61" s="173">
        <f>IF(ISBLANK(F61),"-",G61/$B$56)</f>
        <v>0.99896570445094135</v>
      </c>
      <c r="I61" s="15"/>
      <c r="L61" s="104"/>
    </row>
    <row r="62" spans="1:12" s="456" customFormat="1" ht="26.25" customHeight="1" x14ac:dyDescent="0.45">
      <c r="A62" s="113" t="s">
        <v>96</v>
      </c>
      <c r="B62" s="114">
        <v>1</v>
      </c>
      <c r="C62" s="534"/>
      <c r="D62" s="537"/>
      <c r="E62" s="172">
        <v>3</v>
      </c>
      <c r="F62" s="174">
        <v>126770109</v>
      </c>
      <c r="G62" s="251">
        <f>IF(ISBLANK(F62),"-",(F62/$D$50*$D$47*$B$68)*($B$57/$D$60))</f>
        <v>29.890478808382781</v>
      </c>
      <c r="H62" s="173">
        <f>IF(ISBLANK(F62),"-",G62/$B$56)</f>
        <v>0.99634929361275937</v>
      </c>
      <c r="I62" s="15"/>
      <c r="L62" s="104"/>
    </row>
    <row r="63" spans="1:12" ht="27" customHeight="1" x14ac:dyDescent="0.45">
      <c r="A63" s="113" t="s">
        <v>97</v>
      </c>
      <c r="B63" s="114">
        <v>1</v>
      </c>
      <c r="C63" s="535"/>
      <c r="D63" s="538"/>
      <c r="E63" s="175">
        <v>4</v>
      </c>
      <c r="F63" s="176"/>
      <c r="G63" s="251"/>
      <c r="H63" s="173"/>
    </row>
    <row r="64" spans="1:12" ht="26.25" customHeight="1" x14ac:dyDescent="0.45">
      <c r="A64" s="113" t="s">
        <v>98</v>
      </c>
      <c r="B64" s="114">
        <v>1</v>
      </c>
      <c r="C64" s="533" t="s">
        <v>99</v>
      </c>
      <c r="D64" s="536">
        <v>159.02000000000001</v>
      </c>
      <c r="E64" s="169">
        <v>1</v>
      </c>
      <c r="F64" s="170">
        <v>126444342</v>
      </c>
      <c r="G64" s="252">
        <f>IF(ISBLANK(F64),"-",(F64/$D$50*$D$47*$B$68)*($B$57/$D$64))</f>
        <v>29.950531011842106</v>
      </c>
      <c r="H64" s="177">
        <f>IF(ISBLANK(F64),"-",G64/$B$56)</f>
        <v>0.99835103372807021</v>
      </c>
    </row>
    <row r="65" spans="1:12" ht="26.25" customHeight="1" x14ac:dyDescent="0.45">
      <c r="A65" s="113" t="s">
        <v>100</v>
      </c>
      <c r="B65" s="114">
        <v>1</v>
      </c>
      <c r="C65" s="534"/>
      <c r="D65" s="537"/>
      <c r="E65" s="172">
        <v>2</v>
      </c>
      <c r="F65" s="125">
        <v>127261660</v>
      </c>
      <c r="G65" s="253">
        <f>IF(ISBLANK(F65),"-",(F65/$D$50*$D$47*$B$68)*($B$57/$D$64))</f>
        <v>30.144126926996115</v>
      </c>
      <c r="H65" s="178">
        <f>IF(ISBLANK(F65),"-",G65/$B$56)</f>
        <v>1.0048042308998706</v>
      </c>
    </row>
    <row r="66" spans="1:12" ht="26.25" customHeight="1" x14ac:dyDescent="0.45">
      <c r="A66" s="113" t="s">
        <v>101</v>
      </c>
      <c r="B66" s="114">
        <v>1</v>
      </c>
      <c r="C66" s="534"/>
      <c r="D66" s="537"/>
      <c r="E66" s="172">
        <v>3</v>
      </c>
      <c r="F66" s="125">
        <v>126781423</v>
      </c>
      <c r="G66" s="253">
        <f>IF(ISBLANK(F66),"-",(F66/$D$50*$D$47*$B$68)*($B$57/$D$64))</f>
        <v>30.030374481184552</v>
      </c>
      <c r="H66" s="178">
        <f>IF(ISBLANK(F66),"-",G66/$B$56)</f>
        <v>1.0010124827061517</v>
      </c>
    </row>
    <row r="67" spans="1:12" ht="27" customHeight="1" x14ac:dyDescent="0.45">
      <c r="A67" s="113" t="s">
        <v>102</v>
      </c>
      <c r="B67" s="114">
        <v>1</v>
      </c>
      <c r="C67" s="535"/>
      <c r="D67" s="538"/>
      <c r="E67" s="175">
        <v>4</v>
      </c>
      <c r="F67" s="176"/>
      <c r="G67" s="254"/>
      <c r="H67" s="179"/>
    </row>
    <row r="68" spans="1:12" ht="26.25" customHeight="1" x14ac:dyDescent="0.5">
      <c r="A68" s="113" t="s">
        <v>103</v>
      </c>
      <c r="B68" s="180">
        <f>(B67/B66)*(B65/B64)*(B63/B62)*(B61/B60)*B59</f>
        <v>208.33333333333334</v>
      </c>
      <c r="C68" s="533" t="s">
        <v>104</v>
      </c>
      <c r="D68" s="536">
        <v>163.99</v>
      </c>
      <c r="E68" s="169">
        <v>1</v>
      </c>
      <c r="F68" s="170">
        <v>130065038</v>
      </c>
      <c r="G68" s="252">
        <f>IF(ISBLANK(F68),"-",(F68/$D$50*$D$47*$B$68)*($B$57/$D$68))</f>
        <v>29.874461200797999</v>
      </c>
      <c r="H68" s="173">
        <f>IF(ISBLANK(F68),"-",G68/$B$56)</f>
        <v>0.99581537335993331</v>
      </c>
    </row>
    <row r="69" spans="1:12" ht="27" customHeight="1" x14ac:dyDescent="0.5">
      <c r="A69" s="159" t="s">
        <v>105</v>
      </c>
      <c r="B69" s="485">
        <f>(D47*B68)/B56*B57</f>
        <v>165.38750000000007</v>
      </c>
      <c r="C69" s="534"/>
      <c r="D69" s="537"/>
      <c r="E69" s="172">
        <v>2</v>
      </c>
      <c r="F69" s="125">
        <v>130492780</v>
      </c>
      <c r="G69" s="253">
        <f>IF(ISBLANK(F69),"-",(F69/$D$50*$D$47*$B$68)*($B$57/$D$68))</f>
        <v>29.97270867744081</v>
      </c>
      <c r="H69" s="173">
        <f>IF(ISBLANK(F69),"-",G69/$B$56)</f>
        <v>0.99909028924802701</v>
      </c>
    </row>
    <row r="70" spans="1:12" ht="26.25" customHeight="1" x14ac:dyDescent="0.45">
      <c r="A70" s="547" t="s">
        <v>78</v>
      </c>
      <c r="B70" s="548"/>
      <c r="C70" s="534"/>
      <c r="D70" s="537"/>
      <c r="E70" s="172">
        <v>3</v>
      </c>
      <c r="F70" s="125">
        <v>130244825</v>
      </c>
      <c r="G70" s="253">
        <f>IF(ISBLANK(F70),"-",(F70/$D$50*$D$47*$B$68)*($B$57/$D$68))</f>
        <v>29.91575623164178</v>
      </c>
      <c r="H70" s="173">
        <f>IF(ISBLANK(F70),"-",G70/$B$56)</f>
        <v>0.99719187438805934</v>
      </c>
    </row>
    <row r="71" spans="1:12" ht="27" customHeight="1" x14ac:dyDescent="0.45">
      <c r="A71" s="549"/>
      <c r="B71" s="550"/>
      <c r="C71" s="546"/>
      <c r="D71" s="538"/>
      <c r="E71" s="175">
        <v>4</v>
      </c>
      <c r="F71" s="176"/>
      <c r="G71" s="254"/>
      <c r="H71" s="181"/>
    </row>
    <row r="72" spans="1:12" ht="26.25" customHeight="1" x14ac:dyDescent="0.45">
      <c r="A72" s="182"/>
      <c r="B72" s="182"/>
      <c r="C72" s="182"/>
      <c r="D72" s="182"/>
      <c r="E72" s="182"/>
      <c r="F72" s="184" t="s">
        <v>71</v>
      </c>
      <c r="G72" s="259">
        <f>AVERAGE(G60:G71)</f>
        <v>29.962682043690108</v>
      </c>
      <c r="H72" s="185">
        <f>AVERAGE(H60:H71)</f>
        <v>0.99875606812300355</v>
      </c>
    </row>
    <row r="73" spans="1:12" ht="26.25" customHeight="1" x14ac:dyDescent="0.45">
      <c r="C73" s="182"/>
      <c r="D73" s="182"/>
      <c r="E73" s="182"/>
      <c r="F73" s="186" t="s">
        <v>84</v>
      </c>
      <c r="G73" s="255">
        <f>STDEV(G60:G71)/G72</f>
        <v>2.7698636599193522E-3</v>
      </c>
      <c r="H73" s="255">
        <f>STDEV(H60:H71)/H72</f>
        <v>2.7698636599193692E-3</v>
      </c>
    </row>
    <row r="74" spans="1:12" ht="27" customHeight="1" x14ac:dyDescent="0.45">
      <c r="A74" s="182"/>
      <c r="B74" s="182"/>
      <c r="C74" s="183"/>
      <c r="D74" s="183"/>
      <c r="E74" s="187"/>
      <c r="F74" s="188" t="s">
        <v>20</v>
      </c>
      <c r="G74" s="189">
        <f>COUNT(G60:G71)</f>
        <v>9</v>
      </c>
      <c r="H74" s="189">
        <f>COUNT(H60:H71)</f>
        <v>9</v>
      </c>
    </row>
    <row r="76" spans="1:12" ht="26.25" customHeight="1" x14ac:dyDescent="0.45">
      <c r="A76" s="100" t="s">
        <v>106</v>
      </c>
      <c r="B76" s="190" t="s">
        <v>107</v>
      </c>
      <c r="C76" s="541" t="str">
        <f>B26</f>
        <v>Lamivudine</v>
      </c>
      <c r="D76" s="541"/>
      <c r="E76" s="191" t="s">
        <v>108</v>
      </c>
      <c r="F76" s="191"/>
      <c r="G76" s="192">
        <f>H72</f>
        <v>0.99875606812300355</v>
      </c>
      <c r="H76" s="193"/>
    </row>
    <row r="77" spans="1:12" s="41" customFormat="1" ht="26.25" customHeight="1" x14ac:dyDescent="0.45">
      <c r="A77" s="417"/>
      <c r="B77" s="377"/>
      <c r="C77" s="437"/>
      <c r="D77" s="437"/>
      <c r="E77" s="366"/>
      <c r="F77" s="366"/>
      <c r="G77" s="367"/>
      <c r="H77" s="437"/>
      <c r="I77" s="388"/>
      <c r="J77" s="388"/>
      <c r="K77" s="388"/>
      <c r="L77" s="388"/>
    </row>
    <row r="78" spans="1:12" ht="18" x14ac:dyDescent="0.35">
      <c r="A78" s="99" t="s">
        <v>109</v>
      </c>
      <c r="B78" s="99" t="s">
        <v>110</v>
      </c>
    </row>
    <row r="79" spans="1:12" ht="18" x14ac:dyDescent="0.35">
      <c r="A79" s="99"/>
      <c r="B79" s="99"/>
    </row>
    <row r="80" spans="1:12" ht="26.25" customHeight="1" x14ac:dyDescent="0.45">
      <c r="A80" s="100" t="s">
        <v>4</v>
      </c>
      <c r="B80" s="369" t="str">
        <f>B26</f>
        <v>Lamivudine</v>
      </c>
      <c r="C80" s="457"/>
    </row>
    <row r="81" spans="1:12" ht="26.25" customHeight="1" x14ac:dyDescent="0.45">
      <c r="A81" s="101" t="s">
        <v>48</v>
      </c>
      <c r="B81" s="369" t="str">
        <f>B27</f>
        <v>PN15-105</v>
      </c>
      <c r="C81" s="457"/>
    </row>
    <row r="82" spans="1:12" ht="27" customHeight="1" thickBot="1" x14ac:dyDescent="0.5">
      <c r="A82" s="101" t="s">
        <v>6</v>
      </c>
      <c r="B82" s="194">
        <f>B28</f>
        <v>101.74</v>
      </c>
    </row>
    <row r="83" spans="1:12" s="456" customFormat="1" ht="27" customHeight="1" thickBot="1" x14ac:dyDescent="0.55000000000000004">
      <c r="A83" s="101" t="s">
        <v>49</v>
      </c>
      <c r="B83" s="103">
        <v>0</v>
      </c>
      <c r="C83" s="516" t="s">
        <v>50</v>
      </c>
      <c r="D83" s="517"/>
      <c r="E83" s="517"/>
      <c r="F83" s="517"/>
      <c r="G83" s="518"/>
      <c r="I83" s="104"/>
      <c r="J83" s="104"/>
      <c r="K83" s="104"/>
      <c r="L83" s="104"/>
    </row>
    <row r="84" spans="1:12" s="456" customFormat="1" ht="25.8" thickBot="1" x14ac:dyDescent="0.5">
      <c r="A84" s="101" t="s">
        <v>51</v>
      </c>
      <c r="B84" s="499">
        <f>B82-B83</f>
        <v>101.74</v>
      </c>
      <c r="C84" s="480"/>
      <c r="D84" s="481"/>
      <c r="E84" s="481"/>
      <c r="F84" s="481"/>
      <c r="G84" s="482"/>
      <c r="I84" s="104"/>
      <c r="J84" s="104"/>
      <c r="K84" s="104"/>
      <c r="L84" s="104"/>
    </row>
    <row r="85" spans="1:12" s="456" customFormat="1" ht="27" customHeight="1" thickBot="1" x14ac:dyDescent="0.5">
      <c r="A85" s="101" t="s">
        <v>52</v>
      </c>
      <c r="B85" s="106">
        <v>1</v>
      </c>
      <c r="C85" s="519" t="s">
        <v>111</v>
      </c>
      <c r="D85" s="520"/>
      <c r="E85" s="520"/>
      <c r="F85" s="520"/>
      <c r="G85" s="520"/>
      <c r="H85" s="521"/>
      <c r="I85" s="104"/>
      <c r="J85" s="104"/>
      <c r="K85" s="104"/>
      <c r="L85" s="104"/>
    </row>
    <row r="86" spans="1:12" s="456" customFormat="1" ht="27" customHeight="1" thickBot="1" x14ac:dyDescent="0.5">
      <c r="A86" s="101" t="s">
        <v>54</v>
      </c>
      <c r="B86" s="106">
        <v>1</v>
      </c>
      <c r="C86" s="522" t="s">
        <v>112</v>
      </c>
      <c r="D86" s="523"/>
      <c r="E86" s="523"/>
      <c r="F86" s="523"/>
      <c r="G86" s="523"/>
      <c r="H86" s="524"/>
      <c r="I86" s="104"/>
      <c r="J86" s="104"/>
      <c r="K86" s="104"/>
      <c r="L86" s="104"/>
    </row>
    <row r="87" spans="1:12" s="456" customFormat="1" ht="18" x14ac:dyDescent="0.35">
      <c r="A87" s="101"/>
      <c r="B87" s="108"/>
      <c r="C87" s="109"/>
      <c r="D87" s="109"/>
      <c r="E87" s="109"/>
      <c r="F87" s="109"/>
      <c r="G87" s="109"/>
      <c r="H87" s="109"/>
      <c r="I87" s="104"/>
      <c r="J87" s="104"/>
      <c r="K87" s="104"/>
      <c r="L87" s="104"/>
    </row>
    <row r="88" spans="1:12" s="456" customFormat="1" ht="18" x14ac:dyDescent="0.35">
      <c r="A88" s="101" t="s">
        <v>56</v>
      </c>
      <c r="B88" s="110">
        <f>B85/B86</f>
        <v>1</v>
      </c>
      <c r="C88" s="92" t="s">
        <v>57</v>
      </c>
      <c r="D88" s="92"/>
      <c r="E88" s="92"/>
      <c r="F88" s="92"/>
      <c r="G88" s="92"/>
      <c r="I88" s="104"/>
      <c r="J88" s="104"/>
      <c r="K88" s="104"/>
      <c r="L88" s="104"/>
    </row>
    <row r="89" spans="1:12" ht="19.5" customHeight="1" x14ac:dyDescent="0.35">
      <c r="A89" s="99"/>
      <c r="B89" s="99"/>
    </row>
    <row r="90" spans="1:12" ht="27" customHeight="1" x14ac:dyDescent="0.45">
      <c r="A90" s="111" t="s">
        <v>58</v>
      </c>
      <c r="B90" s="112">
        <v>10</v>
      </c>
      <c r="D90" s="195" t="s">
        <v>59</v>
      </c>
      <c r="E90" s="196"/>
      <c r="F90" s="543" t="s">
        <v>60</v>
      </c>
      <c r="G90" s="544"/>
    </row>
    <row r="91" spans="1:12" ht="27" customHeight="1" x14ac:dyDescent="0.45">
      <c r="A91" s="113" t="s">
        <v>61</v>
      </c>
      <c r="B91" s="114">
        <v>1</v>
      </c>
      <c r="C91" s="197" t="s">
        <v>62</v>
      </c>
      <c r="D91" s="116" t="s">
        <v>63</v>
      </c>
      <c r="E91" s="117" t="s">
        <v>64</v>
      </c>
      <c r="F91" s="116" t="s">
        <v>63</v>
      </c>
      <c r="G91" s="198" t="s">
        <v>64</v>
      </c>
      <c r="I91" s="118" t="s">
        <v>65</v>
      </c>
    </row>
    <row r="92" spans="1:12" ht="26.25" customHeight="1" x14ac:dyDescent="0.45">
      <c r="A92" s="113" t="s">
        <v>66</v>
      </c>
      <c r="B92" s="114">
        <v>50</v>
      </c>
      <c r="C92" s="199">
        <v>1</v>
      </c>
      <c r="D92" s="120">
        <v>24247502</v>
      </c>
      <c r="E92" s="121">
        <f>IF(ISBLANK(D92),"-",$D$102/$D$99*D92)</f>
        <v>27113550.724783536</v>
      </c>
      <c r="F92" s="120">
        <v>26637103</v>
      </c>
      <c r="G92" s="122">
        <f>IF(ISBLANK(F92),"-",$D$102/$F$99*F92)</f>
        <v>26302535.796766564</v>
      </c>
      <c r="I92" s="123"/>
    </row>
    <row r="93" spans="1:12" ht="26.25" customHeight="1" x14ac:dyDescent="0.45">
      <c r="A93" s="113" t="s">
        <v>67</v>
      </c>
      <c r="B93" s="114">
        <v>1</v>
      </c>
      <c r="C93" s="183">
        <v>2</v>
      </c>
      <c r="D93" s="125">
        <v>24245349</v>
      </c>
      <c r="E93" s="126">
        <f>IF(ISBLANK(D93),"-",$D$102/$D$99*D93)</f>
        <v>27111143.240717325</v>
      </c>
      <c r="F93" s="125">
        <v>26557572</v>
      </c>
      <c r="G93" s="127">
        <f>IF(ISBLANK(F93),"-",$D$102/$F$99*F93)</f>
        <v>26224003.72162113</v>
      </c>
      <c r="I93" s="530">
        <f>ABS((F97/D97*D96)-F96)/D96</f>
        <v>3.4631421794713318E-2</v>
      </c>
    </row>
    <row r="94" spans="1:12" ht="26.25" customHeight="1" x14ac:dyDescent="0.45">
      <c r="A94" s="113" t="s">
        <v>68</v>
      </c>
      <c r="B94" s="114">
        <v>1</v>
      </c>
      <c r="C94" s="183">
        <v>3</v>
      </c>
      <c r="D94" s="125">
        <v>24237613</v>
      </c>
      <c r="E94" s="126">
        <f>IF(ISBLANK(D94),"-",$D$102/$D$99*D94)</f>
        <v>27102492.847435288</v>
      </c>
      <c r="F94" s="125">
        <v>26648231</v>
      </c>
      <c r="G94" s="127">
        <f>IF(ISBLANK(F94),"-",$D$102/$F$99*F94)</f>
        <v>26313524.02691856</v>
      </c>
      <c r="I94" s="530"/>
    </row>
    <row r="95" spans="1:12" ht="27" customHeight="1" x14ac:dyDescent="0.45">
      <c r="A95" s="113" t="s">
        <v>69</v>
      </c>
      <c r="B95" s="114">
        <v>1</v>
      </c>
      <c r="C95" s="200">
        <v>4</v>
      </c>
      <c r="D95" s="130"/>
      <c r="E95" s="131" t="str">
        <f>IF(ISBLANK(D95),"-",$D$102/$D$99*D95)</f>
        <v>-</v>
      </c>
      <c r="F95" s="201"/>
      <c r="G95" s="132" t="str">
        <f>IF(ISBLANK(F95),"-",$D$102/$F$99*F95)</f>
        <v>-</v>
      </c>
      <c r="I95" s="133"/>
    </row>
    <row r="96" spans="1:12" ht="27" customHeight="1" x14ac:dyDescent="0.45">
      <c r="A96" s="113" t="s">
        <v>70</v>
      </c>
      <c r="B96" s="114">
        <v>1</v>
      </c>
      <c r="C96" s="202" t="s">
        <v>71</v>
      </c>
      <c r="D96" s="203">
        <f>AVERAGE(D92:D95)</f>
        <v>24243488</v>
      </c>
      <c r="E96" s="136">
        <f>AVERAGE(E92:E95)</f>
        <v>27109062.270978719</v>
      </c>
      <c r="F96" s="204">
        <f>AVERAGE(F92:F95)</f>
        <v>26614302</v>
      </c>
      <c r="G96" s="205">
        <f>AVERAGE(G92:G95)</f>
        <v>26280021.181768749</v>
      </c>
    </row>
    <row r="97" spans="1:10" ht="26.25" customHeight="1" x14ac:dyDescent="0.45">
      <c r="A97" s="113" t="s">
        <v>72</v>
      </c>
      <c r="B97" s="102">
        <v>1</v>
      </c>
      <c r="C97" s="206" t="s">
        <v>113</v>
      </c>
      <c r="D97" s="207">
        <v>14.65</v>
      </c>
      <c r="E97" s="128"/>
      <c r="F97" s="139">
        <v>16.59</v>
      </c>
    </row>
    <row r="98" spans="1:10" ht="26.25" customHeight="1" x14ac:dyDescent="0.45">
      <c r="A98" s="113" t="s">
        <v>74</v>
      </c>
      <c r="B98" s="102">
        <v>1</v>
      </c>
      <c r="C98" s="208" t="s">
        <v>114</v>
      </c>
      <c r="D98" s="209">
        <f>D97*$B$88</f>
        <v>14.65</v>
      </c>
      <c r="E98" s="142"/>
      <c r="F98" s="141">
        <f>F97*$B$88</f>
        <v>16.59</v>
      </c>
    </row>
    <row r="99" spans="1:10" ht="19.5" customHeight="1" x14ac:dyDescent="0.35">
      <c r="A99" s="113" t="s">
        <v>76</v>
      </c>
      <c r="B99" s="210">
        <f>(B98/B97)*(B96/B95)*(B94/B93)*(B92/B91)*B90</f>
        <v>500</v>
      </c>
      <c r="C99" s="208" t="s">
        <v>115</v>
      </c>
      <c r="D99" s="211">
        <f>D98*$B$84/100</f>
        <v>14.904909999999999</v>
      </c>
      <c r="E99" s="145"/>
      <c r="F99" s="144">
        <f>F98*$B$84/100</f>
        <v>16.878665999999999</v>
      </c>
    </row>
    <row r="100" spans="1:10" ht="19.5" customHeight="1" x14ac:dyDescent="0.35">
      <c r="A100" s="531" t="s">
        <v>78</v>
      </c>
      <c r="B100" s="545"/>
      <c r="C100" s="208" t="s">
        <v>116</v>
      </c>
      <c r="D100" s="212">
        <f>D99/$B$99</f>
        <v>2.9809819999999997E-2</v>
      </c>
      <c r="E100" s="145"/>
      <c r="F100" s="148">
        <f>F99/$B$99</f>
        <v>3.3757332000000001E-2</v>
      </c>
      <c r="G100" s="213"/>
      <c r="H100" s="137"/>
    </row>
    <row r="101" spans="1:10" ht="19.5" customHeight="1" x14ac:dyDescent="0.35">
      <c r="A101" s="522"/>
      <c r="B101" s="523"/>
      <c r="C101" s="208" t="s">
        <v>80</v>
      </c>
      <c r="D101" s="214">
        <f>$B$56/$B$117</f>
        <v>3.3333333333333333E-2</v>
      </c>
      <c r="F101" s="153"/>
      <c r="G101" s="215"/>
      <c r="H101" s="137"/>
    </row>
    <row r="102" spans="1:10" ht="18" x14ac:dyDescent="0.35">
      <c r="C102" s="208" t="s">
        <v>81</v>
      </c>
      <c r="D102" s="209">
        <f>D101*$B$99</f>
        <v>16.666666666666668</v>
      </c>
      <c r="F102" s="153"/>
      <c r="G102" s="213"/>
      <c r="H102" s="137"/>
    </row>
    <row r="103" spans="1:10" ht="19.5" customHeight="1" x14ac:dyDescent="0.35">
      <c r="C103" s="216" t="s">
        <v>82</v>
      </c>
      <c r="D103" s="217">
        <f>D102/B34</f>
        <v>16.666666666666668</v>
      </c>
      <c r="F103" s="157"/>
      <c r="G103" s="213"/>
      <c r="H103" s="137"/>
      <c r="J103" s="218"/>
    </row>
    <row r="104" spans="1:10" ht="18" x14ac:dyDescent="0.35">
      <c r="C104" s="219" t="s">
        <v>117</v>
      </c>
      <c r="D104" s="220">
        <f>AVERAGE(E92:E95,G92:G95)</f>
        <v>26694541.726373732</v>
      </c>
      <c r="F104" s="157"/>
      <c r="G104" s="221"/>
      <c r="H104" s="137"/>
      <c r="J104" s="222"/>
    </row>
    <row r="105" spans="1:10" ht="18" x14ac:dyDescent="0.35">
      <c r="C105" s="186" t="s">
        <v>84</v>
      </c>
      <c r="D105" s="223">
        <f>STDEV(E92:E95,G92:G95)/D104</f>
        <v>1.7050228135719839E-2</v>
      </c>
      <c r="F105" s="157"/>
      <c r="G105" s="213"/>
      <c r="H105" s="137"/>
      <c r="J105" s="222"/>
    </row>
    <row r="106" spans="1:10" ht="19.5" customHeight="1" x14ac:dyDescent="0.35">
      <c r="C106" s="188" t="s">
        <v>20</v>
      </c>
      <c r="D106" s="224">
        <f>COUNT(E92:E95,G92:G95)</f>
        <v>6</v>
      </c>
      <c r="F106" s="157"/>
      <c r="G106" s="213"/>
      <c r="H106" s="137"/>
      <c r="J106" s="222"/>
    </row>
    <row r="107" spans="1:10" ht="19.5" customHeight="1" x14ac:dyDescent="0.35">
      <c r="A107" s="161"/>
      <c r="B107" s="161"/>
      <c r="C107" s="161"/>
      <c r="D107" s="161"/>
      <c r="E107" s="161"/>
    </row>
    <row r="108" spans="1:10" ht="26.25" customHeight="1" x14ac:dyDescent="0.45">
      <c r="A108" s="111" t="s">
        <v>118</v>
      </c>
      <c r="B108" s="112">
        <v>900</v>
      </c>
      <c r="C108" s="225" t="s">
        <v>136</v>
      </c>
      <c r="D108" s="226" t="s">
        <v>63</v>
      </c>
      <c r="E108" s="227" t="s">
        <v>119</v>
      </c>
      <c r="F108" s="228" t="s">
        <v>120</v>
      </c>
    </row>
    <row r="109" spans="1:10" ht="26.25" customHeight="1" x14ac:dyDescent="0.45">
      <c r="A109" s="113" t="s">
        <v>121</v>
      </c>
      <c r="B109" s="114">
        <v>1</v>
      </c>
      <c r="C109" s="229">
        <v>1</v>
      </c>
      <c r="D109" s="230">
        <v>26854138</v>
      </c>
      <c r="E109" s="256">
        <f t="shared" ref="E109:E114" si="0">IF(ISBLANK(D109),"-",D109/$D$104*$D$101*$B$117)</f>
        <v>30.179358321932074</v>
      </c>
      <c r="F109" s="231">
        <f t="shared" ref="F109:F114" si="1">IF(ISBLANK(D109), "-", E109/$B$56)</f>
        <v>1.0059786107310691</v>
      </c>
    </row>
    <row r="110" spans="1:10" ht="26.25" customHeight="1" x14ac:dyDescent="0.45">
      <c r="A110" s="113" t="s">
        <v>95</v>
      </c>
      <c r="B110" s="114">
        <v>1</v>
      </c>
      <c r="C110" s="229">
        <v>2</v>
      </c>
      <c r="D110" s="230">
        <v>26629176</v>
      </c>
      <c r="E110" s="257">
        <f t="shared" si="0"/>
        <v>29.926540346288295</v>
      </c>
      <c r="F110" s="232">
        <f t="shared" si="1"/>
        <v>0.9975513448762765</v>
      </c>
    </row>
    <row r="111" spans="1:10" ht="26.25" customHeight="1" x14ac:dyDescent="0.45">
      <c r="A111" s="113" t="s">
        <v>96</v>
      </c>
      <c r="B111" s="114">
        <v>1</v>
      </c>
      <c r="C111" s="229">
        <v>3</v>
      </c>
      <c r="D111" s="230">
        <v>26678714</v>
      </c>
      <c r="E111" s="257">
        <f t="shared" si="0"/>
        <v>29.98221240146847</v>
      </c>
      <c r="F111" s="232">
        <f t="shared" si="1"/>
        <v>0.99940708004894896</v>
      </c>
    </row>
    <row r="112" spans="1:10" ht="26.25" customHeight="1" x14ac:dyDescent="0.45">
      <c r="A112" s="113" t="s">
        <v>97</v>
      </c>
      <c r="B112" s="114">
        <v>1</v>
      </c>
      <c r="C112" s="229">
        <v>4</v>
      </c>
      <c r="D112" s="230">
        <v>27164669</v>
      </c>
      <c r="E112" s="257">
        <f t="shared" si="0"/>
        <v>30.528340900299245</v>
      </c>
      <c r="F112" s="232">
        <f t="shared" si="1"/>
        <v>1.0176113633433082</v>
      </c>
    </row>
    <row r="113" spans="1:10" ht="26.25" customHeight="1" x14ac:dyDescent="0.45">
      <c r="A113" s="113" t="s">
        <v>98</v>
      </c>
      <c r="B113" s="114">
        <v>1</v>
      </c>
      <c r="C113" s="229">
        <v>5</v>
      </c>
      <c r="D113" s="230">
        <v>26504598</v>
      </c>
      <c r="E113" s="257">
        <f t="shared" si="0"/>
        <v>29.786536444430428</v>
      </c>
      <c r="F113" s="232">
        <f t="shared" si="1"/>
        <v>0.9928845481476809</v>
      </c>
    </row>
    <row r="114" spans="1:10" ht="26.25" customHeight="1" x14ac:dyDescent="0.45">
      <c r="A114" s="113" t="s">
        <v>100</v>
      </c>
      <c r="B114" s="114">
        <v>1</v>
      </c>
      <c r="C114" s="233">
        <v>6</v>
      </c>
      <c r="D114" s="234">
        <v>26973649</v>
      </c>
      <c r="E114" s="258">
        <f t="shared" si="0"/>
        <v>30.313667801253747</v>
      </c>
      <c r="F114" s="235">
        <f t="shared" si="1"/>
        <v>1.0104555933751249</v>
      </c>
    </row>
    <row r="115" spans="1:10" ht="26.25" customHeight="1" thickBot="1" x14ac:dyDescent="0.5">
      <c r="A115" s="113" t="s">
        <v>101</v>
      </c>
      <c r="B115" s="114">
        <v>1</v>
      </c>
      <c r="C115" s="229"/>
      <c r="D115" s="183"/>
      <c r="E115" s="91"/>
      <c r="F115" s="236"/>
    </row>
    <row r="116" spans="1:10" ht="26.25" customHeight="1" x14ac:dyDescent="0.45">
      <c r="A116" s="113" t="s">
        <v>102</v>
      </c>
      <c r="B116" s="114">
        <v>1</v>
      </c>
      <c r="C116" s="229"/>
      <c r="D116" s="490" t="s">
        <v>71</v>
      </c>
      <c r="E116" s="493">
        <f>AVERAGE(E109:E114)</f>
        <v>30.119442702612044</v>
      </c>
      <c r="F116" s="494">
        <f>AVERAGE(F109:F114)</f>
        <v>1.0039814234204014</v>
      </c>
    </row>
    <row r="117" spans="1:10" ht="27" customHeight="1" thickBot="1" x14ac:dyDescent="0.5">
      <c r="A117" s="113" t="s">
        <v>103</v>
      </c>
      <c r="B117" s="143">
        <f>(B116/B115)*(B114/B113)*(B112/B111)*(B110/B109)*B108</f>
        <v>900</v>
      </c>
      <c r="C117" s="237"/>
      <c r="D117" s="492" t="s">
        <v>84</v>
      </c>
      <c r="E117" s="495">
        <f>STDEV(E109:E114)/E116</f>
        <v>9.0971266888796795E-3</v>
      </c>
      <c r="F117" s="496">
        <f>STDEV(F109:F114)/F116</f>
        <v>9.0971266888796899E-3</v>
      </c>
      <c r="I117" s="91"/>
    </row>
    <row r="118" spans="1:10" ht="27" customHeight="1" thickBot="1" x14ac:dyDescent="0.5">
      <c r="A118" s="531" t="s">
        <v>78</v>
      </c>
      <c r="B118" s="532"/>
      <c r="C118" s="238"/>
      <c r="D118" s="491" t="s">
        <v>20</v>
      </c>
      <c r="E118" s="497">
        <f>COUNT(E109:E114)</f>
        <v>6</v>
      </c>
      <c r="F118" s="498">
        <f>COUNT(F109:F114)</f>
        <v>6</v>
      </c>
      <c r="I118" s="91"/>
      <c r="J118" s="222"/>
    </row>
    <row r="119" spans="1:10" ht="19.5" customHeight="1" thickBot="1" x14ac:dyDescent="0.4">
      <c r="A119" s="522"/>
      <c r="B119" s="524"/>
      <c r="C119" s="91"/>
      <c r="D119" s="91"/>
      <c r="E119" s="91"/>
      <c r="F119" s="183"/>
      <c r="G119" s="91"/>
      <c r="H119" s="91"/>
      <c r="I119" s="91"/>
    </row>
    <row r="120" spans="1:10" ht="18" x14ac:dyDescent="0.35">
      <c r="A120" s="247"/>
      <c r="B120" s="109"/>
      <c r="C120" s="91"/>
      <c r="D120" s="91"/>
      <c r="E120" s="91"/>
      <c r="F120" s="183"/>
      <c r="G120" s="91"/>
      <c r="H120" s="91"/>
      <c r="I120" s="91"/>
    </row>
    <row r="121" spans="1:10" ht="26.25" customHeight="1" x14ac:dyDescent="0.45">
      <c r="A121" s="100" t="s">
        <v>106</v>
      </c>
      <c r="B121" s="190" t="s">
        <v>122</v>
      </c>
      <c r="C121" s="541" t="str">
        <f>B80</f>
        <v>Lamivudine</v>
      </c>
      <c r="D121" s="541"/>
      <c r="E121" s="191" t="s">
        <v>123</v>
      </c>
      <c r="F121" s="191"/>
      <c r="G121" s="192">
        <f>F116</f>
        <v>1.0039814234204014</v>
      </c>
      <c r="H121" s="91"/>
      <c r="I121" s="91"/>
    </row>
    <row r="122" spans="1:10" ht="19.5" customHeight="1" x14ac:dyDescent="0.35">
      <c r="A122" s="239"/>
      <c r="B122" s="239"/>
      <c r="C122" s="240"/>
      <c r="D122" s="240"/>
      <c r="E122" s="240"/>
      <c r="F122" s="240"/>
      <c r="G122" s="240"/>
      <c r="H122" s="240"/>
    </row>
    <row r="123" spans="1:10" ht="18" x14ac:dyDescent="0.35">
      <c r="B123" s="542" t="s">
        <v>26</v>
      </c>
      <c r="C123" s="542"/>
      <c r="E123" s="197" t="s">
        <v>27</v>
      </c>
      <c r="F123" s="241"/>
      <c r="G123" s="542" t="s">
        <v>28</v>
      </c>
      <c r="H123" s="542"/>
    </row>
    <row r="124" spans="1:10" ht="69.900000000000006" customHeight="1" x14ac:dyDescent="0.35">
      <c r="A124" s="242" t="s">
        <v>29</v>
      </c>
      <c r="B124" s="243"/>
      <c r="C124" s="243" t="s">
        <v>124</v>
      </c>
      <c r="E124" s="375" t="s">
        <v>125</v>
      </c>
      <c r="F124" s="91"/>
      <c r="G124" s="244"/>
      <c r="H124" s="244"/>
    </row>
    <row r="125" spans="1:10" ht="69.900000000000006" customHeight="1" x14ac:dyDescent="0.35">
      <c r="A125" s="242" t="s">
        <v>30</v>
      </c>
      <c r="B125" s="245"/>
      <c r="C125" s="245" t="s">
        <v>132</v>
      </c>
      <c r="E125" s="500">
        <v>42338</v>
      </c>
      <c r="F125" s="91"/>
      <c r="G125" s="246"/>
      <c r="H125" s="246"/>
    </row>
    <row r="126" spans="1:10" ht="18" x14ac:dyDescent="0.35">
      <c r="A126" s="182"/>
      <c r="B126" s="182"/>
      <c r="C126" s="183"/>
      <c r="D126" s="183"/>
      <c r="E126" s="183"/>
      <c r="F126" s="187"/>
      <c r="G126" s="183"/>
      <c r="H126" s="183"/>
      <c r="I126" s="91"/>
    </row>
    <row r="127" spans="1:10" ht="18" x14ac:dyDescent="0.35">
      <c r="A127" s="182"/>
      <c r="B127" s="182"/>
      <c r="C127" s="183"/>
      <c r="D127" s="183"/>
      <c r="E127" s="183"/>
      <c r="F127" s="187"/>
      <c r="G127" s="183"/>
      <c r="H127" s="183"/>
      <c r="I127" s="91"/>
    </row>
    <row r="128" spans="1:10" ht="18" x14ac:dyDescent="0.35">
      <c r="A128" s="182"/>
      <c r="B128" s="182"/>
      <c r="C128" s="183"/>
      <c r="D128" s="183"/>
      <c r="E128" s="183"/>
      <c r="F128" s="187"/>
      <c r="G128" s="183"/>
      <c r="H128" s="183"/>
      <c r="I128" s="91"/>
    </row>
    <row r="129" spans="1:9" ht="18" x14ac:dyDescent="0.35">
      <c r="A129" s="182"/>
      <c r="B129" s="182"/>
      <c r="C129" s="183"/>
      <c r="D129" s="183"/>
      <c r="E129" s="183"/>
      <c r="F129" s="187"/>
      <c r="G129" s="183"/>
      <c r="H129" s="183"/>
      <c r="I129" s="91"/>
    </row>
    <row r="130" spans="1:9" ht="18" x14ac:dyDescent="0.35">
      <c r="A130" s="182"/>
      <c r="B130" s="182"/>
      <c r="C130" s="183"/>
      <c r="D130" s="183"/>
      <c r="E130" s="183"/>
      <c r="F130" s="187"/>
      <c r="G130" s="183"/>
      <c r="H130" s="183"/>
      <c r="I130" s="91"/>
    </row>
    <row r="131" spans="1:9" ht="18" x14ac:dyDescent="0.35">
      <c r="A131" s="182"/>
      <c r="B131" s="182"/>
      <c r="C131" s="183"/>
      <c r="D131" s="183"/>
      <c r="E131" s="183"/>
      <c r="F131" s="187"/>
      <c r="G131" s="183"/>
      <c r="H131" s="183"/>
      <c r="I131" s="91"/>
    </row>
    <row r="132" spans="1:9" ht="18" x14ac:dyDescent="0.35">
      <c r="A132" s="182"/>
      <c r="B132" s="182"/>
      <c r="C132" s="183"/>
      <c r="D132" s="183"/>
      <c r="E132" s="183"/>
      <c r="F132" s="187"/>
      <c r="G132" s="183"/>
      <c r="H132" s="183"/>
      <c r="I132" s="91"/>
    </row>
    <row r="133" spans="1:9" ht="18" x14ac:dyDescent="0.35">
      <c r="A133" s="182"/>
      <c r="B133" s="182"/>
      <c r="C133" s="183"/>
      <c r="D133" s="183"/>
      <c r="E133" s="183"/>
      <c r="F133" s="187"/>
      <c r="G133" s="183"/>
      <c r="H133" s="183"/>
      <c r="I133" s="91"/>
    </row>
    <row r="134" spans="1:9" ht="18" x14ac:dyDescent="0.35">
      <c r="A134" s="182"/>
      <c r="B134" s="182"/>
      <c r="C134" s="183"/>
      <c r="D134" s="183"/>
      <c r="E134" s="183"/>
      <c r="F134" s="187"/>
      <c r="G134" s="183"/>
      <c r="H134" s="183"/>
      <c r="I134" s="91"/>
    </row>
    <row r="251" spans="1:1" x14ac:dyDescent="0.3">
      <c r="A251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A1:I7"/>
    <mergeCell ref="A8:I14"/>
    <mergeCell ref="A118:B119"/>
    <mergeCell ref="C121:D121"/>
    <mergeCell ref="B123:C123"/>
    <mergeCell ref="G123:H123"/>
    <mergeCell ref="C83:G83"/>
    <mergeCell ref="C85:H85"/>
    <mergeCell ref="C86:H86"/>
    <mergeCell ref="F90:G90"/>
    <mergeCell ref="I93:I94"/>
    <mergeCell ref="A100:B101"/>
    <mergeCell ref="C68:C71"/>
    <mergeCell ref="D68:D71"/>
    <mergeCell ref="A70:B71"/>
    <mergeCell ref="C76:D76"/>
    <mergeCell ref="A46:B47"/>
    <mergeCell ref="C60:C63"/>
    <mergeCell ref="D60:D63"/>
    <mergeCell ref="C64:C67"/>
    <mergeCell ref="D64:D67"/>
    <mergeCell ref="C31:H31"/>
    <mergeCell ref="C32:H32"/>
    <mergeCell ref="D36:E36"/>
    <mergeCell ref="F36:G36"/>
    <mergeCell ref="I39:I40"/>
    <mergeCell ref="A16:H16"/>
    <mergeCell ref="A17:H17"/>
    <mergeCell ref="B20:C20"/>
    <mergeCell ref="B21:H21"/>
    <mergeCell ref="C29:G29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5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3">
    <cfRule type="cellIs" dxfId="10" priority="8" operator="lessThanOrEqual">
      <formula>0.02</formula>
    </cfRule>
  </conditionalFormatting>
  <conditionalFormatting sqref="I93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B99" zoomScale="80" zoomScaleNormal="80" zoomScaleSheetLayoutView="30" zoomScalePageLayoutView="50" workbookViewId="0">
      <selection activeCell="C107" sqref="C107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39" t="s">
        <v>45</v>
      </c>
      <c r="B1" s="539"/>
      <c r="C1" s="539"/>
      <c r="D1" s="539"/>
      <c r="E1" s="539"/>
      <c r="F1" s="539"/>
      <c r="G1" s="539"/>
      <c r="H1" s="539"/>
      <c r="I1" s="539"/>
    </row>
    <row r="2" spans="1:9" ht="18.75" customHeight="1" x14ac:dyDescent="0.3">
      <c r="A2" s="539"/>
      <c r="B2" s="539"/>
      <c r="C2" s="539"/>
      <c r="D2" s="539"/>
      <c r="E2" s="539"/>
      <c r="F2" s="539"/>
      <c r="G2" s="539"/>
      <c r="H2" s="539"/>
      <c r="I2" s="539"/>
    </row>
    <row r="3" spans="1:9" ht="18.75" customHeight="1" x14ac:dyDescent="0.3">
      <c r="A3" s="539"/>
      <c r="B3" s="539"/>
      <c r="C3" s="539"/>
      <c r="D3" s="539"/>
      <c r="E3" s="539"/>
      <c r="F3" s="539"/>
      <c r="G3" s="539"/>
      <c r="H3" s="539"/>
      <c r="I3" s="539"/>
    </row>
    <row r="4" spans="1:9" ht="18.75" customHeight="1" x14ac:dyDescent="0.3">
      <c r="A4" s="539"/>
      <c r="B4" s="539"/>
      <c r="C4" s="539"/>
      <c r="D4" s="539"/>
      <c r="E4" s="539"/>
      <c r="F4" s="539"/>
      <c r="G4" s="539"/>
      <c r="H4" s="539"/>
      <c r="I4" s="539"/>
    </row>
    <row r="5" spans="1:9" ht="18.75" customHeight="1" x14ac:dyDescent="0.3">
      <c r="A5" s="539"/>
      <c r="B5" s="539"/>
      <c r="C5" s="539"/>
      <c r="D5" s="539"/>
      <c r="E5" s="539"/>
      <c r="F5" s="539"/>
      <c r="G5" s="539"/>
      <c r="H5" s="539"/>
      <c r="I5" s="539"/>
    </row>
    <row r="6" spans="1:9" ht="18.75" customHeight="1" x14ac:dyDescent="0.3">
      <c r="A6" s="539"/>
      <c r="B6" s="539"/>
      <c r="C6" s="539"/>
      <c r="D6" s="539"/>
      <c r="E6" s="539"/>
      <c r="F6" s="539"/>
      <c r="G6" s="539"/>
      <c r="H6" s="539"/>
      <c r="I6" s="539"/>
    </row>
    <row r="7" spans="1:9" ht="18.75" customHeight="1" x14ac:dyDescent="0.3">
      <c r="A7" s="539"/>
      <c r="B7" s="539"/>
      <c r="C7" s="539"/>
      <c r="D7" s="539"/>
      <c r="E7" s="539"/>
      <c r="F7" s="539"/>
      <c r="G7" s="539"/>
      <c r="H7" s="539"/>
      <c r="I7" s="539"/>
    </row>
    <row r="8" spans="1:9" x14ac:dyDescent="0.3">
      <c r="A8" s="540" t="s">
        <v>46</v>
      </c>
      <c r="B8" s="540"/>
      <c r="C8" s="540"/>
      <c r="D8" s="540"/>
      <c r="E8" s="540"/>
      <c r="F8" s="540"/>
      <c r="G8" s="540"/>
      <c r="H8" s="540"/>
      <c r="I8" s="540"/>
    </row>
    <row r="9" spans="1:9" x14ac:dyDescent="0.3">
      <c r="A9" s="540"/>
      <c r="B9" s="540"/>
      <c r="C9" s="540"/>
      <c r="D9" s="540"/>
      <c r="E9" s="540"/>
      <c r="F9" s="540"/>
      <c r="G9" s="540"/>
      <c r="H9" s="540"/>
      <c r="I9" s="540"/>
    </row>
    <row r="10" spans="1:9" x14ac:dyDescent="0.3">
      <c r="A10" s="540"/>
      <c r="B10" s="540"/>
      <c r="C10" s="540"/>
      <c r="D10" s="540"/>
      <c r="E10" s="540"/>
      <c r="F10" s="540"/>
      <c r="G10" s="540"/>
      <c r="H10" s="540"/>
      <c r="I10" s="540"/>
    </row>
    <row r="11" spans="1:9" x14ac:dyDescent="0.3">
      <c r="A11" s="540"/>
      <c r="B11" s="540"/>
      <c r="C11" s="540"/>
      <c r="D11" s="540"/>
      <c r="E11" s="540"/>
      <c r="F11" s="540"/>
      <c r="G11" s="540"/>
      <c r="H11" s="540"/>
      <c r="I11" s="540"/>
    </row>
    <row r="12" spans="1:9" x14ac:dyDescent="0.3">
      <c r="A12" s="540"/>
      <c r="B12" s="540"/>
      <c r="C12" s="540"/>
      <c r="D12" s="540"/>
      <c r="E12" s="540"/>
      <c r="F12" s="540"/>
      <c r="G12" s="540"/>
      <c r="H12" s="540"/>
      <c r="I12" s="540"/>
    </row>
    <row r="13" spans="1:9" x14ac:dyDescent="0.3">
      <c r="A13" s="540"/>
      <c r="B13" s="540"/>
      <c r="C13" s="540"/>
      <c r="D13" s="540"/>
      <c r="E13" s="540"/>
      <c r="F13" s="540"/>
      <c r="G13" s="540"/>
      <c r="H13" s="540"/>
      <c r="I13" s="540"/>
    </row>
    <row r="14" spans="1:9" x14ac:dyDescent="0.3">
      <c r="A14" s="540"/>
      <c r="B14" s="540"/>
      <c r="C14" s="540"/>
      <c r="D14" s="540"/>
      <c r="E14" s="540"/>
      <c r="F14" s="540"/>
      <c r="G14" s="540"/>
      <c r="H14" s="540"/>
      <c r="I14" s="540"/>
    </row>
    <row r="15" spans="1:9" ht="19.5" customHeight="1" x14ac:dyDescent="0.35">
      <c r="A15" s="261"/>
    </row>
    <row r="16" spans="1:9" ht="19.5" customHeight="1" x14ac:dyDescent="0.35">
      <c r="A16" s="511" t="s">
        <v>31</v>
      </c>
      <c r="B16" s="512"/>
      <c r="C16" s="512"/>
      <c r="D16" s="512"/>
      <c r="E16" s="512"/>
      <c r="F16" s="512"/>
      <c r="G16" s="512"/>
      <c r="H16" s="513"/>
    </row>
    <row r="17" spans="1:14" ht="20.25" customHeight="1" x14ac:dyDescent="0.3">
      <c r="A17" s="514" t="s">
        <v>47</v>
      </c>
      <c r="B17" s="514"/>
      <c r="C17" s="514"/>
      <c r="D17" s="514"/>
      <c r="E17" s="514"/>
      <c r="F17" s="514"/>
      <c r="G17" s="514"/>
      <c r="H17" s="514"/>
    </row>
    <row r="18" spans="1:14" ht="26.25" customHeight="1" x14ac:dyDescent="0.5">
      <c r="A18" s="263" t="s">
        <v>33</v>
      </c>
      <c r="B18" s="551" t="s">
        <v>5</v>
      </c>
      <c r="C18" s="551"/>
      <c r="D18" s="423"/>
      <c r="E18" s="264"/>
      <c r="F18" s="265"/>
      <c r="G18" s="265"/>
      <c r="H18" s="265"/>
    </row>
    <row r="19" spans="1:14" ht="26.25" customHeight="1" x14ac:dyDescent="0.5">
      <c r="A19" s="263" t="s">
        <v>34</v>
      </c>
      <c r="B19" s="266" t="s">
        <v>7</v>
      </c>
      <c r="C19" s="435">
        <v>29</v>
      </c>
      <c r="D19" s="265"/>
      <c r="E19" s="265"/>
      <c r="F19" s="265"/>
      <c r="G19" s="265"/>
      <c r="H19" s="265"/>
    </row>
    <row r="20" spans="1:14" ht="26.25" customHeight="1" x14ac:dyDescent="0.5">
      <c r="A20" s="263" t="s">
        <v>35</v>
      </c>
      <c r="B20" s="515" t="s">
        <v>9</v>
      </c>
      <c r="C20" s="515"/>
      <c r="D20" s="265"/>
      <c r="E20" s="265"/>
      <c r="F20" s="265"/>
      <c r="G20" s="265"/>
      <c r="H20" s="265"/>
    </row>
    <row r="21" spans="1:14" ht="26.25" customHeight="1" x14ac:dyDescent="0.5">
      <c r="A21" s="263" t="s">
        <v>36</v>
      </c>
      <c r="B21" s="515" t="s">
        <v>11</v>
      </c>
      <c r="C21" s="515"/>
      <c r="D21" s="515"/>
      <c r="E21" s="515"/>
      <c r="F21" s="515"/>
      <c r="G21" s="515"/>
      <c r="H21" s="515"/>
      <c r="I21" s="267"/>
    </row>
    <row r="22" spans="1:14" ht="26.25" customHeight="1" x14ac:dyDescent="0.5">
      <c r="A22" s="263" t="s">
        <v>37</v>
      </c>
      <c r="B22" s="268">
        <v>42319</v>
      </c>
      <c r="C22" s="265"/>
      <c r="D22" s="265"/>
      <c r="E22" s="265"/>
      <c r="F22" s="265"/>
      <c r="G22" s="265"/>
      <c r="H22" s="265"/>
    </row>
    <row r="23" spans="1:14" ht="26.25" customHeight="1" x14ac:dyDescent="0.5">
      <c r="A23" s="263" t="s">
        <v>38</v>
      </c>
      <c r="B23" s="268">
        <v>42346</v>
      </c>
      <c r="C23" s="265"/>
      <c r="D23" s="265"/>
      <c r="E23" s="265"/>
      <c r="F23" s="265"/>
      <c r="G23" s="265"/>
      <c r="H23" s="265"/>
    </row>
    <row r="24" spans="1:14" ht="18" x14ac:dyDescent="0.35">
      <c r="A24" s="263"/>
      <c r="B24" s="269"/>
    </row>
    <row r="25" spans="1:14" ht="18" x14ac:dyDescent="0.35">
      <c r="A25" s="270" t="s">
        <v>1</v>
      </c>
      <c r="B25" s="269"/>
    </row>
    <row r="26" spans="1:14" ht="26.25" customHeight="1" x14ac:dyDescent="0.45">
      <c r="A26" s="271" t="s">
        <v>4</v>
      </c>
      <c r="B26" s="459" t="s">
        <v>128</v>
      </c>
      <c r="C26" s="458"/>
    </row>
    <row r="27" spans="1:14" ht="26.25" customHeight="1" x14ac:dyDescent="0.5">
      <c r="A27" s="272" t="s">
        <v>48</v>
      </c>
      <c r="B27" s="274" t="s">
        <v>129</v>
      </c>
      <c r="C27" s="460"/>
    </row>
    <row r="28" spans="1:14" ht="27" customHeight="1" x14ac:dyDescent="0.45">
      <c r="A28" s="272" t="s">
        <v>6</v>
      </c>
      <c r="B28" s="273">
        <v>99.7</v>
      </c>
    </row>
    <row r="29" spans="1:14" s="14" customFormat="1" ht="27" customHeight="1" x14ac:dyDescent="0.5">
      <c r="A29" s="272" t="s">
        <v>49</v>
      </c>
      <c r="B29" s="274">
        <v>0</v>
      </c>
      <c r="C29" s="552" t="s">
        <v>50</v>
      </c>
      <c r="D29" s="553"/>
      <c r="E29" s="553"/>
      <c r="F29" s="553"/>
      <c r="G29" s="554"/>
      <c r="I29" s="275"/>
      <c r="J29" s="275"/>
      <c r="K29" s="275"/>
      <c r="L29" s="275"/>
    </row>
    <row r="30" spans="1:14" s="14" customFormat="1" ht="19.5" customHeight="1" x14ac:dyDescent="0.35">
      <c r="A30" s="272" t="s">
        <v>51</v>
      </c>
      <c r="B30" s="276">
        <f>B28-B29</f>
        <v>99.7</v>
      </c>
      <c r="C30" s="277"/>
      <c r="D30" s="277"/>
      <c r="E30" s="277"/>
      <c r="F30" s="277"/>
      <c r="G30" s="278"/>
      <c r="I30" s="275"/>
      <c r="J30" s="275"/>
      <c r="K30" s="275"/>
      <c r="L30" s="275"/>
    </row>
    <row r="31" spans="1:14" s="14" customFormat="1" ht="27" customHeight="1" x14ac:dyDescent="0.45">
      <c r="A31" s="272" t="s">
        <v>52</v>
      </c>
      <c r="B31" s="279">
        <v>1</v>
      </c>
      <c r="C31" s="555" t="s">
        <v>53</v>
      </c>
      <c r="D31" s="556"/>
      <c r="E31" s="556"/>
      <c r="F31" s="556"/>
      <c r="G31" s="556"/>
      <c r="H31" s="557"/>
      <c r="I31" s="275"/>
      <c r="J31" s="275"/>
      <c r="K31" s="275"/>
      <c r="L31" s="275"/>
    </row>
    <row r="32" spans="1:14" s="14" customFormat="1" ht="27" customHeight="1" x14ac:dyDescent="0.45">
      <c r="A32" s="272" t="s">
        <v>54</v>
      </c>
      <c r="B32" s="279">
        <v>1</v>
      </c>
      <c r="C32" s="555" t="s">
        <v>55</v>
      </c>
      <c r="D32" s="556"/>
      <c r="E32" s="556"/>
      <c r="F32" s="556"/>
      <c r="G32" s="556"/>
      <c r="H32" s="557"/>
      <c r="I32" s="275"/>
      <c r="J32" s="275"/>
      <c r="K32" s="275"/>
      <c r="L32" s="280"/>
      <c r="M32" s="280"/>
      <c r="N32" s="281"/>
    </row>
    <row r="33" spans="1:14" s="14" customFormat="1" ht="17.25" customHeight="1" x14ac:dyDescent="0.35">
      <c r="A33" s="272"/>
      <c r="B33" s="282"/>
      <c r="C33" s="283"/>
      <c r="D33" s="283"/>
      <c r="E33" s="283"/>
      <c r="F33" s="283"/>
      <c r="G33" s="283"/>
      <c r="H33" s="283"/>
      <c r="I33" s="275"/>
      <c r="J33" s="275"/>
      <c r="K33" s="275"/>
      <c r="L33" s="280"/>
      <c r="M33" s="280"/>
      <c r="N33" s="281"/>
    </row>
    <row r="34" spans="1:14" s="14" customFormat="1" ht="18" x14ac:dyDescent="0.35">
      <c r="A34" s="272" t="s">
        <v>56</v>
      </c>
      <c r="B34" s="284">
        <f>B31/B32</f>
        <v>1</v>
      </c>
      <c r="C34" s="262" t="s">
        <v>57</v>
      </c>
      <c r="D34" s="262"/>
      <c r="E34" s="262"/>
      <c r="F34" s="262"/>
      <c r="G34" s="262"/>
      <c r="H34" s="456"/>
      <c r="I34" s="275"/>
      <c r="J34" s="275"/>
      <c r="K34" s="275"/>
      <c r="L34" s="280"/>
      <c r="M34" s="280"/>
      <c r="N34" s="281"/>
    </row>
    <row r="35" spans="1:14" s="14" customFormat="1" ht="19.5" customHeight="1" x14ac:dyDescent="0.35">
      <c r="A35" s="272"/>
      <c r="B35" s="276"/>
      <c r="F35" s="487"/>
      <c r="G35" s="262"/>
      <c r="H35" s="456"/>
      <c r="I35" s="275"/>
      <c r="J35" s="275"/>
      <c r="K35" s="275"/>
      <c r="L35" s="280"/>
      <c r="M35" s="280"/>
      <c r="N35" s="281"/>
    </row>
    <row r="36" spans="1:14" s="14" customFormat="1" ht="27" customHeight="1" x14ac:dyDescent="0.45">
      <c r="A36" s="285" t="s">
        <v>58</v>
      </c>
      <c r="B36" s="286">
        <v>100</v>
      </c>
      <c r="C36" s="262"/>
      <c r="D36" s="543" t="s">
        <v>59</v>
      </c>
      <c r="E36" s="558"/>
      <c r="F36" s="559" t="s">
        <v>60</v>
      </c>
      <c r="G36" s="560"/>
      <c r="H36" s="456"/>
      <c r="I36" s="462"/>
      <c r="J36" s="275"/>
      <c r="K36" s="275"/>
      <c r="L36" s="280"/>
      <c r="M36" s="280"/>
      <c r="N36" s="281"/>
    </row>
    <row r="37" spans="1:14" s="14" customFormat="1" ht="27" customHeight="1" x14ac:dyDescent="0.45">
      <c r="A37" s="287" t="s">
        <v>61</v>
      </c>
      <c r="B37" s="288">
        <v>1</v>
      </c>
      <c r="C37" s="289" t="s">
        <v>62</v>
      </c>
      <c r="D37" s="290" t="s">
        <v>63</v>
      </c>
      <c r="E37" s="291" t="s">
        <v>64</v>
      </c>
      <c r="F37" s="488" t="s">
        <v>63</v>
      </c>
      <c r="G37" s="489" t="s">
        <v>64</v>
      </c>
      <c r="H37" s="456"/>
      <c r="I37" s="467" t="s">
        <v>65</v>
      </c>
      <c r="J37" s="275"/>
      <c r="K37" s="275"/>
      <c r="L37" s="280"/>
      <c r="M37" s="280"/>
      <c r="N37" s="281"/>
    </row>
    <row r="38" spans="1:14" s="14" customFormat="1" ht="26.25" customHeight="1" x14ac:dyDescent="0.45">
      <c r="A38" s="287" t="s">
        <v>66</v>
      </c>
      <c r="B38" s="288">
        <v>1</v>
      </c>
      <c r="C38" s="293">
        <v>1</v>
      </c>
      <c r="D38" s="294">
        <v>230772468</v>
      </c>
      <c r="E38" s="295">
        <f>IF(ISBLANK(D38),"-",$D$48/$D$45*D38)</f>
        <v>215384803.29325444</v>
      </c>
      <c r="F38" s="472">
        <v>222530961</v>
      </c>
      <c r="G38" s="473">
        <f>IF(ISBLANK(F38),"-",$D$48/$F$45*F38)</f>
        <v>215930889.41121978</v>
      </c>
      <c r="H38" s="456"/>
      <c r="I38" s="468"/>
      <c r="J38" s="275"/>
      <c r="K38" s="275"/>
      <c r="L38" s="280"/>
      <c r="M38" s="280"/>
      <c r="N38" s="281"/>
    </row>
    <row r="39" spans="1:14" s="14" customFormat="1" ht="26.25" customHeight="1" x14ac:dyDescent="0.45">
      <c r="A39" s="287" t="s">
        <v>67</v>
      </c>
      <c r="B39" s="288">
        <v>1</v>
      </c>
      <c r="C39" s="298">
        <v>2</v>
      </c>
      <c r="D39" s="299">
        <v>233556088</v>
      </c>
      <c r="E39" s="300">
        <f>IF(ISBLANK(D39),"-",$D$48/$D$45*D39)</f>
        <v>217982814.44830769</v>
      </c>
      <c r="F39" s="474">
        <v>222668961</v>
      </c>
      <c r="G39" s="475">
        <f>IF(ISBLANK(F39),"-",$D$48/$F$45*F39)</f>
        <v>216064796.45320997</v>
      </c>
      <c r="H39" s="456"/>
      <c r="I39" s="529">
        <f>ABS((F43/D43*D42)-F42)/D42</f>
        <v>1.9830025150442058E-3</v>
      </c>
      <c r="J39" s="275"/>
      <c r="K39" s="275"/>
      <c r="L39" s="280"/>
      <c r="M39" s="280"/>
      <c r="N39" s="281"/>
    </row>
    <row r="40" spans="1:14" ht="26.25" customHeight="1" x14ac:dyDescent="0.45">
      <c r="A40" s="287" t="s">
        <v>68</v>
      </c>
      <c r="B40" s="288">
        <v>1</v>
      </c>
      <c r="C40" s="298">
        <v>3</v>
      </c>
      <c r="D40" s="299">
        <v>234667215</v>
      </c>
      <c r="E40" s="300">
        <f>IF(ISBLANK(D40),"-",$D$48/$D$45*D40)</f>
        <v>219019852.67216039</v>
      </c>
      <c r="F40" s="474">
        <v>225742096</v>
      </c>
      <c r="G40" s="475">
        <f>IF(ISBLANK(F40),"-",$D$48/$F$45*F40)</f>
        <v>219046784.98572141</v>
      </c>
      <c r="I40" s="530"/>
      <c r="L40" s="280"/>
      <c r="M40" s="280"/>
      <c r="N40" s="302"/>
    </row>
    <row r="41" spans="1:14" ht="27" customHeight="1" x14ac:dyDescent="0.45">
      <c r="A41" s="287" t="s">
        <v>69</v>
      </c>
      <c r="B41" s="288">
        <v>1</v>
      </c>
      <c r="C41" s="303">
        <v>4</v>
      </c>
      <c r="D41" s="304"/>
      <c r="E41" s="305" t="str">
        <f>IF(ISBLANK(D41),"-",$D$48/$D$45*D41)</f>
        <v>-</v>
      </c>
      <c r="F41" s="476"/>
      <c r="G41" s="477" t="str">
        <f>IF(ISBLANK(F41),"-",$D$48/$F$45*F41)</f>
        <v>-</v>
      </c>
      <c r="I41" s="307"/>
      <c r="L41" s="280"/>
      <c r="M41" s="280"/>
      <c r="N41" s="302"/>
    </row>
    <row r="42" spans="1:14" ht="27" customHeight="1" x14ac:dyDescent="0.45">
      <c r="A42" s="287" t="s">
        <v>70</v>
      </c>
      <c r="B42" s="288">
        <v>1</v>
      </c>
      <c r="C42" s="308" t="s">
        <v>71</v>
      </c>
      <c r="D42" s="309">
        <f>AVERAGE(D38:D41)</f>
        <v>232998590.33333334</v>
      </c>
      <c r="E42" s="310">
        <f>AVERAGE(E38:E41)</f>
        <v>217462490.13790751</v>
      </c>
      <c r="F42" s="478">
        <f>AVERAGE(F38:F41)</f>
        <v>223647339.33333334</v>
      </c>
      <c r="G42" s="479">
        <f>AVERAGE(G38:G41)</f>
        <v>217014156.95005035</v>
      </c>
      <c r="H42" s="311"/>
    </row>
    <row r="43" spans="1:14" ht="26.25" customHeight="1" x14ac:dyDescent="0.45">
      <c r="A43" s="287" t="s">
        <v>72</v>
      </c>
      <c r="B43" s="288">
        <v>1</v>
      </c>
      <c r="C43" s="312" t="s">
        <v>135</v>
      </c>
      <c r="D43" s="313">
        <v>32.24</v>
      </c>
      <c r="E43" s="302"/>
      <c r="F43" s="469">
        <v>31.01</v>
      </c>
      <c r="H43" s="311"/>
    </row>
    <row r="44" spans="1:14" ht="26.25" customHeight="1" x14ac:dyDescent="0.45">
      <c r="A44" s="287" t="s">
        <v>74</v>
      </c>
      <c r="B44" s="288">
        <v>1</v>
      </c>
      <c r="C44" s="314" t="s">
        <v>75</v>
      </c>
      <c r="D44" s="315">
        <f>D43*$B$34</f>
        <v>32.24</v>
      </c>
      <c r="E44" s="316"/>
      <c r="F44" s="315">
        <f>F43*$B$34</f>
        <v>31.01</v>
      </c>
      <c r="H44" s="311"/>
    </row>
    <row r="45" spans="1:14" ht="19.5" customHeight="1" x14ac:dyDescent="0.35">
      <c r="A45" s="287" t="s">
        <v>76</v>
      </c>
      <c r="B45" s="317">
        <f>(B44/B43)*(B42/B41)*(B40/B39)*(B38/B37)*B36</f>
        <v>100</v>
      </c>
      <c r="C45" s="314" t="s">
        <v>77</v>
      </c>
      <c r="D45" s="318">
        <f>D44*$B$30/100</f>
        <v>32.143280000000004</v>
      </c>
      <c r="E45" s="319"/>
      <c r="F45" s="318">
        <f>F44*$B$30/100</f>
        <v>30.916970000000003</v>
      </c>
      <c r="H45" s="311"/>
    </row>
    <row r="46" spans="1:14" ht="19.5" customHeight="1" x14ac:dyDescent="0.35">
      <c r="A46" s="531" t="s">
        <v>78</v>
      </c>
      <c r="B46" s="532"/>
      <c r="C46" s="314" t="s">
        <v>79</v>
      </c>
      <c r="D46" s="320">
        <f>D45/$B$45</f>
        <v>0.32143280000000002</v>
      </c>
      <c r="E46" s="321"/>
      <c r="F46" s="322">
        <f>F45/$B$45</f>
        <v>0.30916970000000005</v>
      </c>
      <c r="H46" s="311"/>
    </row>
    <row r="47" spans="1:14" ht="27" customHeight="1" x14ac:dyDescent="0.45">
      <c r="A47" s="522"/>
      <c r="B47" s="524"/>
      <c r="C47" s="323" t="s">
        <v>80</v>
      </c>
      <c r="D47" s="324">
        <v>0.3</v>
      </c>
      <c r="E47" s="325"/>
      <c r="F47" s="321"/>
      <c r="H47" s="311"/>
    </row>
    <row r="48" spans="1:14" ht="18" x14ac:dyDescent="0.35">
      <c r="C48" s="326" t="s">
        <v>81</v>
      </c>
      <c r="D48" s="318">
        <f>D47*$B$45</f>
        <v>30</v>
      </c>
      <c r="F48" s="327"/>
      <c r="H48" s="311"/>
    </row>
    <row r="49" spans="1:12" ht="19.5" customHeight="1" x14ac:dyDescent="0.35">
      <c r="C49" s="328" t="s">
        <v>82</v>
      </c>
      <c r="D49" s="329">
        <f>D48/B34</f>
        <v>30</v>
      </c>
      <c r="F49" s="327"/>
      <c r="H49" s="311"/>
    </row>
    <row r="50" spans="1:12" ht="18" x14ac:dyDescent="0.35">
      <c r="C50" s="285" t="s">
        <v>83</v>
      </c>
      <c r="D50" s="330">
        <f>AVERAGE(E38:E41,G38:G41)</f>
        <v>217238323.54397893</v>
      </c>
      <c r="F50" s="331"/>
      <c r="H50" s="311"/>
    </row>
    <row r="51" spans="1:12" ht="18" x14ac:dyDescent="0.35">
      <c r="C51" s="287" t="s">
        <v>84</v>
      </c>
      <c r="D51" s="332">
        <f>STDEV(E38:E41,G38:G41)/D50</f>
        <v>7.5697000098931223E-3</v>
      </c>
      <c r="F51" s="331"/>
      <c r="H51" s="311"/>
    </row>
    <row r="52" spans="1:12" ht="19.5" customHeight="1" x14ac:dyDescent="0.35">
      <c r="C52" s="333" t="s">
        <v>20</v>
      </c>
      <c r="D52" s="334">
        <f>COUNT(E38:E41,G38:G41)</f>
        <v>6</v>
      </c>
      <c r="F52" s="331"/>
    </row>
    <row r="54" spans="1:12" ht="18" x14ac:dyDescent="0.35">
      <c r="A54" s="335" t="s">
        <v>1</v>
      </c>
      <c r="B54" s="336" t="s">
        <v>85</v>
      </c>
    </row>
    <row r="55" spans="1:12" ht="18" x14ac:dyDescent="0.35">
      <c r="A55" s="262" t="s">
        <v>86</v>
      </c>
      <c r="B55" s="337" t="str">
        <f>B21</f>
        <v>Each film coated tablet contains Lamivudine (3TC) USP 30 mg and Zidovudine (AZT) USP 60 mg.</v>
      </c>
    </row>
    <row r="56" spans="1:12" ht="26.25" customHeight="1" x14ac:dyDescent="0.45">
      <c r="A56" s="338" t="s">
        <v>87</v>
      </c>
      <c r="B56" s="339">
        <v>60</v>
      </c>
      <c r="C56" s="262" t="str">
        <f>B26</f>
        <v>Zidovudine</v>
      </c>
      <c r="H56" s="340"/>
    </row>
    <row r="57" spans="1:12" ht="18" x14ac:dyDescent="0.35">
      <c r="A57" s="337" t="s">
        <v>88</v>
      </c>
      <c r="B57" s="424">
        <f>Uniformity!C38</f>
        <v>158.77200000000005</v>
      </c>
      <c r="H57" s="340"/>
    </row>
    <row r="58" spans="1:12" ht="19.5" customHeight="1" x14ac:dyDescent="0.35">
      <c r="H58" s="340"/>
    </row>
    <row r="59" spans="1:12" s="456" customFormat="1" ht="27" customHeight="1" x14ac:dyDescent="0.45">
      <c r="A59" s="285" t="s">
        <v>89</v>
      </c>
      <c r="B59" s="286">
        <v>25</v>
      </c>
      <c r="C59" s="262"/>
      <c r="D59" s="341" t="s">
        <v>90</v>
      </c>
      <c r="E59" s="342" t="s">
        <v>62</v>
      </c>
      <c r="F59" s="342" t="s">
        <v>63</v>
      </c>
      <c r="G59" s="342" t="s">
        <v>91</v>
      </c>
      <c r="H59" s="289" t="s">
        <v>92</v>
      </c>
      <c r="I59" s="15"/>
      <c r="L59" s="486"/>
    </row>
    <row r="60" spans="1:12" s="456" customFormat="1" ht="26.25" customHeight="1" x14ac:dyDescent="0.45">
      <c r="A60" s="287" t="s">
        <v>93</v>
      </c>
      <c r="B60" s="288">
        <v>3</v>
      </c>
      <c r="C60" s="533" t="s">
        <v>94</v>
      </c>
      <c r="D60" s="536">
        <v>159.75</v>
      </c>
      <c r="E60" s="343">
        <v>1</v>
      </c>
      <c r="F60" s="344">
        <v>210155649</v>
      </c>
      <c r="G60" s="425">
        <f>IF(ISBLANK(F60),"-",(F60/$D$50*$D$47*$B$68)*($B$57/$D$60))</f>
        <v>60.092142956273243</v>
      </c>
      <c r="H60" s="345">
        <f>IF(ISBLANK(F60),"-",G60/$B$56)</f>
        <v>1.0015357159378875</v>
      </c>
      <c r="I60" s="15"/>
      <c r="L60" s="486"/>
    </row>
    <row r="61" spans="1:12" s="456" customFormat="1" ht="26.25" customHeight="1" x14ac:dyDescent="0.45">
      <c r="A61" s="287" t="s">
        <v>95</v>
      </c>
      <c r="B61" s="288">
        <v>25</v>
      </c>
      <c r="C61" s="534"/>
      <c r="D61" s="537"/>
      <c r="E61" s="346">
        <v>2</v>
      </c>
      <c r="F61" s="299">
        <v>210406698</v>
      </c>
      <c r="G61" s="426">
        <f>IF(ISBLANK(F61),"-",(F61/$D$50*$D$47*$B$68)*($B$57/$D$60))</f>
        <v>60.163928190069306</v>
      </c>
      <c r="H61" s="347">
        <f t="shared" ref="H61:H70" si="0">IF(ISBLANK(F61),"-",G61/$B$56)</f>
        <v>1.002732136501155</v>
      </c>
      <c r="I61" s="15"/>
      <c r="L61" s="486"/>
    </row>
    <row r="62" spans="1:12" s="456" customFormat="1" ht="26.25" customHeight="1" x14ac:dyDescent="0.45">
      <c r="A62" s="287" t="s">
        <v>96</v>
      </c>
      <c r="B62" s="288">
        <v>1</v>
      </c>
      <c r="C62" s="534"/>
      <c r="D62" s="537"/>
      <c r="E62" s="346">
        <v>3</v>
      </c>
      <c r="F62" s="348">
        <v>210147903</v>
      </c>
      <c r="G62" s="426">
        <f>IF(ISBLANK(F62),"-",(F62/$D$50*$D$47*$B$68)*($B$57/$D$60))</f>
        <v>60.089928056309539</v>
      </c>
      <c r="H62" s="347">
        <f t="shared" si="0"/>
        <v>1.0014988009384924</v>
      </c>
      <c r="I62" s="15"/>
      <c r="L62" s="486"/>
    </row>
    <row r="63" spans="1:12" ht="27" customHeight="1" x14ac:dyDescent="0.45">
      <c r="A63" s="287" t="s">
        <v>97</v>
      </c>
      <c r="B63" s="288">
        <v>1</v>
      </c>
      <c r="C63" s="535"/>
      <c r="D63" s="538"/>
      <c r="E63" s="349">
        <v>4</v>
      </c>
      <c r="F63" s="350"/>
      <c r="G63" s="426"/>
      <c r="H63" s="347"/>
    </row>
    <row r="64" spans="1:12" ht="26.25" customHeight="1" x14ac:dyDescent="0.45">
      <c r="A64" s="287" t="s">
        <v>98</v>
      </c>
      <c r="B64" s="288">
        <v>1</v>
      </c>
      <c r="C64" s="533" t="s">
        <v>99</v>
      </c>
      <c r="D64" s="536">
        <v>159.02000000000001</v>
      </c>
      <c r="E64" s="343">
        <v>1</v>
      </c>
      <c r="F64" s="344">
        <v>208352833</v>
      </c>
      <c r="G64" s="427">
        <f>IF(ISBLANK(F64),"-",(F64/$D$50*$D$47*$B$68)*($B$57/$D$64))</f>
        <v>59.850137304044758</v>
      </c>
      <c r="H64" s="351">
        <f>IF(ISBLANK(F64),"-",G64/$B$56)</f>
        <v>0.99750228840074595</v>
      </c>
    </row>
    <row r="65" spans="1:8" ht="26.25" customHeight="1" x14ac:dyDescent="0.45">
      <c r="A65" s="287" t="s">
        <v>100</v>
      </c>
      <c r="B65" s="288">
        <v>1</v>
      </c>
      <c r="C65" s="534"/>
      <c r="D65" s="537"/>
      <c r="E65" s="346">
        <v>2</v>
      </c>
      <c r="F65" s="299">
        <v>209916309</v>
      </c>
      <c r="G65" s="428">
        <f>IF(ISBLANK(F65),"-",(F65/$D$50*$D$47*$B$68)*($B$57/$D$64))</f>
        <v>60.299251683361007</v>
      </c>
      <c r="H65" s="352">
        <f t="shared" si="0"/>
        <v>1.0049875280560168</v>
      </c>
    </row>
    <row r="66" spans="1:8" ht="26.25" customHeight="1" x14ac:dyDescent="0.45">
      <c r="A66" s="287" t="s">
        <v>101</v>
      </c>
      <c r="B66" s="288">
        <v>1</v>
      </c>
      <c r="C66" s="534"/>
      <c r="D66" s="537"/>
      <c r="E66" s="346">
        <v>3</v>
      </c>
      <c r="F66" s="299">
        <v>209147712</v>
      </c>
      <c r="G66" s="428">
        <f>IF(ISBLANK(F66),"-",(F66/$D$50*$D$47*$B$68)*($B$57/$D$64))</f>
        <v>60.07846929552818</v>
      </c>
      <c r="H66" s="352">
        <f t="shared" si="0"/>
        <v>1.0013078215921363</v>
      </c>
    </row>
    <row r="67" spans="1:8" ht="27" customHeight="1" x14ac:dyDescent="0.45">
      <c r="A67" s="287" t="s">
        <v>102</v>
      </c>
      <c r="B67" s="288">
        <v>1</v>
      </c>
      <c r="C67" s="535"/>
      <c r="D67" s="538"/>
      <c r="E67" s="349">
        <v>4</v>
      </c>
      <c r="F67" s="350"/>
      <c r="G67" s="429"/>
      <c r="H67" s="353"/>
    </row>
    <row r="68" spans="1:8" ht="26.25" customHeight="1" x14ac:dyDescent="0.5">
      <c r="A68" s="287" t="s">
        <v>103</v>
      </c>
      <c r="B68" s="354">
        <f>(B67/B66)*(B65/B64)*(B63/B62)*(B61/B60)*B59</f>
        <v>208.33333333333334</v>
      </c>
      <c r="C68" s="533" t="s">
        <v>104</v>
      </c>
      <c r="D68" s="536">
        <v>163.99</v>
      </c>
      <c r="E68" s="343">
        <v>1</v>
      </c>
      <c r="F68" s="344">
        <v>214509025</v>
      </c>
      <c r="G68" s="427">
        <f>IF(ISBLANK(F68),"-",(F68/$D$50*$D$47*$B$68)*($B$57/$D$68))</f>
        <v>59.751070874824691</v>
      </c>
      <c r="H68" s="347">
        <f>IF(ISBLANK(F68),"-",G68/$B$56)</f>
        <v>0.99585118124707817</v>
      </c>
    </row>
    <row r="69" spans="1:8" ht="27" customHeight="1" x14ac:dyDescent="0.5">
      <c r="A69" s="333" t="s">
        <v>105</v>
      </c>
      <c r="B69" s="355">
        <f>(D47*B68)/B56*B57</f>
        <v>165.38750000000007</v>
      </c>
      <c r="C69" s="534"/>
      <c r="D69" s="537"/>
      <c r="E69" s="346">
        <v>2</v>
      </c>
      <c r="F69" s="299">
        <v>215600859</v>
      </c>
      <c r="G69" s="428">
        <f>IF(ISBLANK(F69),"-",(F69/$D$50*$D$47*$B$68)*($B$57/$D$68))</f>
        <v>60.055199107739575</v>
      </c>
      <c r="H69" s="347">
        <f t="shared" si="0"/>
        <v>1.0009199851289929</v>
      </c>
    </row>
    <row r="70" spans="1:8" ht="26.25" customHeight="1" x14ac:dyDescent="0.45">
      <c r="A70" s="547" t="s">
        <v>78</v>
      </c>
      <c r="B70" s="548"/>
      <c r="C70" s="534"/>
      <c r="D70" s="537"/>
      <c r="E70" s="346">
        <v>3</v>
      </c>
      <c r="F70" s="299">
        <v>215319529</v>
      </c>
      <c r="G70" s="428">
        <f>IF(ISBLANK(F70),"-",(F70/$D$50*$D$47*$B$68)*($B$57/$D$68))</f>
        <v>59.976835184500374</v>
      </c>
      <c r="H70" s="347">
        <f t="shared" si="0"/>
        <v>0.99961391974167291</v>
      </c>
    </row>
    <row r="71" spans="1:8" ht="27" customHeight="1" x14ac:dyDescent="0.45">
      <c r="A71" s="549"/>
      <c r="B71" s="550"/>
      <c r="C71" s="546"/>
      <c r="D71" s="538"/>
      <c r="E71" s="349">
        <v>4</v>
      </c>
      <c r="F71" s="350"/>
      <c r="G71" s="429"/>
      <c r="H71" s="356"/>
    </row>
    <row r="72" spans="1:8" ht="26.25" customHeight="1" x14ac:dyDescent="0.45">
      <c r="A72" s="357"/>
      <c r="B72" s="357"/>
      <c r="C72" s="357"/>
      <c r="D72" s="357"/>
      <c r="E72" s="357"/>
      <c r="F72" s="359" t="s">
        <v>71</v>
      </c>
      <c r="G72" s="434">
        <f>AVERAGE(G60:G71)</f>
        <v>60.03966251696118</v>
      </c>
      <c r="H72" s="360">
        <f>AVERAGE(H60:H71)</f>
        <v>1.0006610419493529</v>
      </c>
    </row>
    <row r="73" spans="1:8" ht="26.25" customHeight="1" x14ac:dyDescent="0.45">
      <c r="C73" s="357"/>
      <c r="D73" s="357"/>
      <c r="E73" s="357"/>
      <c r="F73" s="361" t="s">
        <v>84</v>
      </c>
      <c r="G73" s="430">
        <f>STDEV(G60:G71)/G72</f>
        <v>2.7177882706701881E-3</v>
      </c>
      <c r="H73" s="430">
        <f>STDEV(H60:H71)/H72</f>
        <v>2.7177882706701873E-3</v>
      </c>
    </row>
    <row r="74" spans="1:8" ht="27" customHeight="1" x14ac:dyDescent="0.45">
      <c r="A74" s="357"/>
      <c r="B74" s="357"/>
      <c r="C74" s="358"/>
      <c r="D74" s="358"/>
      <c r="E74" s="362"/>
      <c r="F74" s="363" t="s">
        <v>20</v>
      </c>
      <c r="G74" s="364">
        <f>COUNT(G60:G71)</f>
        <v>9</v>
      </c>
      <c r="H74" s="364">
        <f>COUNT(H60:H71)</f>
        <v>9</v>
      </c>
    </row>
    <row r="76" spans="1:8" ht="26.25" customHeight="1" x14ac:dyDescent="0.45">
      <c r="A76" s="271" t="s">
        <v>106</v>
      </c>
      <c r="B76" s="365" t="s">
        <v>107</v>
      </c>
      <c r="C76" s="541" t="str">
        <f>C56</f>
        <v>Zidovudine</v>
      </c>
      <c r="D76" s="541"/>
      <c r="E76" s="366" t="s">
        <v>108</v>
      </c>
      <c r="F76" s="366"/>
      <c r="G76" s="367">
        <f>H72</f>
        <v>1.0006610419493529</v>
      </c>
      <c r="H76" s="368"/>
    </row>
    <row r="77" spans="1:8" ht="18" x14ac:dyDescent="0.35">
      <c r="A77" s="270" t="s">
        <v>109</v>
      </c>
      <c r="B77" s="270" t="s">
        <v>110</v>
      </c>
    </row>
    <row r="78" spans="1:8" ht="18" x14ac:dyDescent="0.35">
      <c r="A78" s="270"/>
      <c r="B78" s="270"/>
    </row>
    <row r="79" spans="1:8" ht="26.25" customHeight="1" x14ac:dyDescent="0.45">
      <c r="A79" s="271" t="s">
        <v>4</v>
      </c>
      <c r="B79" s="369" t="str">
        <f>B26</f>
        <v>Zidovudine</v>
      </c>
      <c r="C79" s="457"/>
    </row>
    <row r="80" spans="1:8" ht="26.25" customHeight="1" x14ac:dyDescent="0.45">
      <c r="A80" s="272" t="s">
        <v>48</v>
      </c>
      <c r="B80" s="369" t="str">
        <f>B27</f>
        <v>Z1-1</v>
      </c>
      <c r="C80" s="457"/>
    </row>
    <row r="81" spans="1:12" ht="27" customHeight="1" x14ac:dyDescent="0.45">
      <c r="A81" s="272" t="s">
        <v>6</v>
      </c>
      <c r="B81" s="369">
        <f>B28</f>
        <v>99.7</v>
      </c>
    </row>
    <row r="82" spans="1:12" s="456" customFormat="1" ht="27" customHeight="1" x14ac:dyDescent="0.5">
      <c r="A82" s="272" t="s">
        <v>49</v>
      </c>
      <c r="B82" s="274">
        <v>0</v>
      </c>
      <c r="C82" s="552" t="s">
        <v>50</v>
      </c>
      <c r="D82" s="553"/>
      <c r="E82" s="553"/>
      <c r="F82" s="553"/>
      <c r="G82" s="554"/>
      <c r="H82" s="14"/>
      <c r="I82" s="275"/>
      <c r="J82" s="275"/>
      <c r="K82" s="275"/>
      <c r="L82" s="275"/>
    </row>
    <row r="83" spans="1:12" s="456" customFormat="1" ht="19.5" customHeight="1" x14ac:dyDescent="0.35">
      <c r="A83" s="272" t="s">
        <v>51</v>
      </c>
      <c r="B83" s="276">
        <f>B81-B82</f>
        <v>99.7</v>
      </c>
      <c r="C83" s="277"/>
      <c r="D83" s="277"/>
      <c r="E83" s="277"/>
      <c r="F83" s="277"/>
      <c r="G83" s="278"/>
      <c r="H83" s="14"/>
      <c r="I83" s="275"/>
      <c r="J83" s="275"/>
      <c r="K83" s="275"/>
      <c r="L83" s="275"/>
    </row>
    <row r="84" spans="1:12" s="456" customFormat="1" ht="27" customHeight="1" x14ac:dyDescent="0.45">
      <c r="A84" s="272" t="s">
        <v>52</v>
      </c>
      <c r="B84" s="279">
        <v>1</v>
      </c>
      <c r="C84" s="555" t="s">
        <v>111</v>
      </c>
      <c r="D84" s="556"/>
      <c r="E84" s="556"/>
      <c r="F84" s="556"/>
      <c r="G84" s="556"/>
      <c r="H84" s="557"/>
      <c r="I84" s="275"/>
      <c r="J84" s="275"/>
      <c r="K84" s="275"/>
      <c r="L84" s="275"/>
    </row>
    <row r="85" spans="1:12" s="456" customFormat="1" ht="27" customHeight="1" x14ac:dyDescent="0.45">
      <c r="A85" s="272" t="s">
        <v>54</v>
      </c>
      <c r="B85" s="279">
        <v>1</v>
      </c>
      <c r="C85" s="555" t="s">
        <v>112</v>
      </c>
      <c r="D85" s="556"/>
      <c r="E85" s="556"/>
      <c r="F85" s="556"/>
      <c r="G85" s="556"/>
      <c r="H85" s="557"/>
      <c r="I85" s="275"/>
      <c r="J85" s="275"/>
      <c r="K85" s="275"/>
      <c r="L85" s="275"/>
    </row>
    <row r="86" spans="1:12" s="456" customFormat="1" ht="18" x14ac:dyDescent="0.35">
      <c r="A86" s="272"/>
      <c r="B86" s="282"/>
      <c r="C86" s="283"/>
      <c r="D86" s="283"/>
      <c r="E86" s="283"/>
      <c r="F86" s="283"/>
      <c r="G86" s="283"/>
      <c r="H86" s="283"/>
      <c r="I86" s="275"/>
      <c r="J86" s="275"/>
      <c r="K86" s="275"/>
      <c r="L86" s="275"/>
    </row>
    <row r="87" spans="1:12" s="456" customFormat="1" ht="18" x14ac:dyDescent="0.35">
      <c r="A87" s="272" t="s">
        <v>56</v>
      </c>
      <c r="B87" s="284">
        <f>B84/B85</f>
        <v>1</v>
      </c>
      <c r="C87" s="262" t="s">
        <v>57</v>
      </c>
      <c r="D87" s="262"/>
      <c r="E87" s="262"/>
      <c r="F87" s="262"/>
      <c r="G87" s="262"/>
      <c r="I87" s="275"/>
      <c r="J87" s="275"/>
      <c r="K87" s="275"/>
      <c r="L87" s="275"/>
    </row>
    <row r="88" spans="1:12" ht="19.5" customHeight="1" x14ac:dyDescent="0.35">
      <c r="A88" s="270"/>
      <c r="B88" s="270"/>
    </row>
    <row r="89" spans="1:12" ht="27" customHeight="1" x14ac:dyDescent="0.45">
      <c r="A89" s="285" t="s">
        <v>58</v>
      </c>
      <c r="B89" s="286">
        <v>50</v>
      </c>
      <c r="D89" s="370" t="s">
        <v>59</v>
      </c>
      <c r="E89" s="371"/>
      <c r="F89" s="543" t="s">
        <v>60</v>
      </c>
      <c r="G89" s="544"/>
    </row>
    <row r="90" spans="1:12" ht="27" customHeight="1" x14ac:dyDescent="0.45">
      <c r="A90" s="287" t="s">
        <v>61</v>
      </c>
      <c r="B90" s="288">
        <v>2</v>
      </c>
      <c r="C90" s="372" t="s">
        <v>62</v>
      </c>
      <c r="D90" s="290" t="s">
        <v>63</v>
      </c>
      <c r="E90" s="291" t="s">
        <v>64</v>
      </c>
      <c r="F90" s="290" t="s">
        <v>63</v>
      </c>
      <c r="G90" s="373" t="s">
        <v>64</v>
      </c>
      <c r="I90" s="292" t="s">
        <v>65</v>
      </c>
    </row>
    <row r="91" spans="1:12" ht="26.25" customHeight="1" x14ac:dyDescent="0.45">
      <c r="A91" s="287" t="s">
        <v>66</v>
      </c>
      <c r="B91" s="288">
        <v>20</v>
      </c>
      <c r="C91" s="374">
        <v>1</v>
      </c>
      <c r="D91" s="294">
        <v>40140948</v>
      </c>
      <c r="E91" s="295">
        <f>IF(ISBLANK(D91),"-",$D$101/$D$98*D91)</f>
        <v>49123637.383600295</v>
      </c>
      <c r="F91" s="294">
        <v>41999513</v>
      </c>
      <c r="G91" s="296">
        <f>IF(ISBLANK(F91),"-",$D$101/$F$98*F91)</f>
        <v>47551518.988617279</v>
      </c>
      <c r="I91" s="297"/>
    </row>
    <row r="92" spans="1:12" ht="26.25" customHeight="1" x14ac:dyDescent="0.45">
      <c r="A92" s="287" t="s">
        <v>67</v>
      </c>
      <c r="B92" s="288">
        <v>1</v>
      </c>
      <c r="C92" s="358">
        <v>2</v>
      </c>
      <c r="D92" s="299">
        <v>40134508</v>
      </c>
      <c r="E92" s="300">
        <f>IF(ISBLANK(D92),"-",$D$101/$D$98*D92)</f>
        <v>49115756.248736449</v>
      </c>
      <c r="F92" s="299">
        <v>41884609</v>
      </c>
      <c r="G92" s="301">
        <f>IF(ISBLANK(F92),"-",$D$101/$F$98*F92)</f>
        <v>47421425.581632584</v>
      </c>
      <c r="I92" s="530">
        <f>ABS((F96/D96*D95)-F95)/D95</f>
        <v>3.5443789331141048E-2</v>
      </c>
    </row>
    <row r="93" spans="1:12" ht="26.25" customHeight="1" x14ac:dyDescent="0.45">
      <c r="A93" s="287" t="s">
        <v>68</v>
      </c>
      <c r="B93" s="288">
        <v>1</v>
      </c>
      <c r="C93" s="358">
        <v>3</v>
      </c>
      <c r="D93" s="299">
        <v>40145045</v>
      </c>
      <c r="E93" s="300">
        <f>IF(ISBLANK(D93),"-",$D$101/$D$98*D93)</f>
        <v>49128651.204956993</v>
      </c>
      <c r="F93" s="299">
        <v>42009410</v>
      </c>
      <c r="G93" s="301">
        <f>IF(ISBLANK(F93),"-",$D$101/$F$98*F93)</f>
        <v>47562724.29434143</v>
      </c>
      <c r="I93" s="530"/>
    </row>
    <row r="94" spans="1:12" ht="27" customHeight="1" x14ac:dyDescent="0.45">
      <c r="A94" s="287" t="s">
        <v>69</v>
      </c>
      <c r="B94" s="288">
        <v>1</v>
      </c>
      <c r="C94" s="375">
        <v>4</v>
      </c>
      <c r="D94" s="304"/>
      <c r="E94" s="305" t="str">
        <f>IF(ISBLANK(D94),"-",$D$101/$D$98*D94)</f>
        <v>-</v>
      </c>
      <c r="F94" s="376"/>
      <c r="G94" s="306" t="str">
        <f>IF(ISBLANK(F94),"-",$D$101/$F$98*F94)</f>
        <v>-</v>
      </c>
      <c r="I94" s="307"/>
    </row>
    <row r="95" spans="1:12" ht="27" customHeight="1" x14ac:dyDescent="0.45">
      <c r="A95" s="287" t="s">
        <v>70</v>
      </c>
      <c r="B95" s="288">
        <v>1</v>
      </c>
      <c r="C95" s="377" t="s">
        <v>71</v>
      </c>
      <c r="D95" s="378">
        <f>AVERAGE(D91:D94)</f>
        <v>40140167</v>
      </c>
      <c r="E95" s="310">
        <f>AVERAGE(E91:E94)</f>
        <v>49122681.612431251</v>
      </c>
      <c r="F95" s="379">
        <f>AVERAGE(F91:F94)</f>
        <v>41964510.666666664</v>
      </c>
      <c r="G95" s="380">
        <f>AVERAGE(G91:G94)</f>
        <v>47511889.621530436</v>
      </c>
    </row>
    <row r="96" spans="1:12" ht="26.25" customHeight="1" x14ac:dyDescent="0.45">
      <c r="A96" s="287" t="s">
        <v>72</v>
      </c>
      <c r="B96" s="273">
        <v>1</v>
      </c>
      <c r="C96" s="381" t="s">
        <v>113</v>
      </c>
      <c r="D96" s="382">
        <v>27.32</v>
      </c>
      <c r="E96" s="302"/>
      <c r="F96" s="313">
        <v>29.53</v>
      </c>
    </row>
    <row r="97" spans="1:10" ht="26.25" customHeight="1" x14ac:dyDescent="0.45">
      <c r="A97" s="287" t="s">
        <v>74</v>
      </c>
      <c r="B97" s="273">
        <v>1</v>
      </c>
      <c r="C97" s="383" t="s">
        <v>114</v>
      </c>
      <c r="D97" s="384">
        <f>D96*$B$87</f>
        <v>27.32</v>
      </c>
      <c r="E97" s="316"/>
      <c r="F97" s="315">
        <f>F96*$B$87</f>
        <v>29.53</v>
      </c>
    </row>
    <row r="98" spans="1:10" ht="19.5" customHeight="1" x14ac:dyDescent="0.35">
      <c r="A98" s="287" t="s">
        <v>76</v>
      </c>
      <c r="B98" s="385">
        <f>(B97/B96)*(B95/B94)*(B93/B92)*(B91/B90)*B89</f>
        <v>500</v>
      </c>
      <c r="C98" s="383" t="s">
        <v>115</v>
      </c>
      <c r="D98" s="386">
        <f>D97*$B$83/100</f>
        <v>27.238040000000002</v>
      </c>
      <c r="E98" s="319"/>
      <c r="F98" s="318">
        <f>F97*$B$83/100</f>
        <v>29.441410000000001</v>
      </c>
    </row>
    <row r="99" spans="1:10" ht="19.5" customHeight="1" x14ac:dyDescent="0.35">
      <c r="A99" s="531" t="s">
        <v>78</v>
      </c>
      <c r="B99" s="545"/>
      <c r="C99" s="383" t="s">
        <v>116</v>
      </c>
      <c r="D99" s="387">
        <f>D98/$B$98</f>
        <v>5.4476080000000003E-2</v>
      </c>
      <c r="E99" s="319"/>
      <c r="F99" s="322">
        <f>F98/$B$98</f>
        <v>5.8882820000000002E-2</v>
      </c>
      <c r="G99" s="388"/>
      <c r="H99" s="311"/>
    </row>
    <row r="100" spans="1:10" ht="19.5" customHeight="1" x14ac:dyDescent="0.35">
      <c r="A100" s="522"/>
      <c r="B100" s="523"/>
      <c r="C100" s="383" t="s">
        <v>80</v>
      </c>
      <c r="D100" s="389">
        <f>$B$56/$B$116</f>
        <v>6.6666666666666666E-2</v>
      </c>
      <c r="F100" s="327"/>
      <c r="G100" s="390"/>
      <c r="H100" s="311"/>
    </row>
    <row r="101" spans="1:10" ht="18" x14ac:dyDescent="0.35">
      <c r="C101" s="383" t="s">
        <v>81</v>
      </c>
      <c r="D101" s="384">
        <f>D100*$B$98</f>
        <v>33.333333333333336</v>
      </c>
      <c r="F101" s="327"/>
      <c r="G101" s="388"/>
      <c r="H101" s="311"/>
    </row>
    <row r="102" spans="1:10" ht="19.5" customHeight="1" x14ac:dyDescent="0.35">
      <c r="C102" s="391" t="s">
        <v>82</v>
      </c>
      <c r="D102" s="392">
        <f>D101/B34</f>
        <v>33.333333333333336</v>
      </c>
      <c r="F102" s="331"/>
      <c r="G102" s="388"/>
      <c r="H102" s="311"/>
      <c r="J102" s="393"/>
    </row>
    <row r="103" spans="1:10" ht="18" x14ac:dyDescent="0.35">
      <c r="C103" s="394" t="s">
        <v>117</v>
      </c>
      <c r="D103" s="395">
        <f>AVERAGE(E91:E94,G91:G94)</f>
        <v>48317285.616980843</v>
      </c>
      <c r="F103" s="331"/>
      <c r="G103" s="396"/>
      <c r="H103" s="311"/>
      <c r="J103" s="397"/>
    </row>
    <row r="104" spans="1:10" ht="18" x14ac:dyDescent="0.35">
      <c r="C104" s="361" t="s">
        <v>84</v>
      </c>
      <c r="D104" s="398">
        <f>STDEV(E91:E94,G91:G94)/D103</f>
        <v>1.8288983782602772E-2</v>
      </c>
      <c r="F104" s="331"/>
      <c r="G104" s="388"/>
      <c r="H104" s="311"/>
      <c r="J104" s="397"/>
    </row>
    <row r="105" spans="1:10" ht="19.5" customHeight="1" x14ac:dyDescent="0.35">
      <c r="C105" s="363" t="s">
        <v>20</v>
      </c>
      <c r="D105" s="399">
        <f>COUNT(E91:E94,G91:G94)</f>
        <v>6</v>
      </c>
      <c r="F105" s="331"/>
      <c r="G105" s="388"/>
      <c r="H105" s="311"/>
      <c r="J105" s="397"/>
    </row>
    <row r="106" spans="1:10" ht="19.5" customHeight="1" x14ac:dyDescent="0.35">
      <c r="A106" s="335"/>
      <c r="B106" s="335"/>
      <c r="C106" s="335"/>
      <c r="D106" s="335"/>
      <c r="E106" s="335"/>
    </row>
    <row r="107" spans="1:10" ht="26.25" customHeight="1" x14ac:dyDescent="0.45">
      <c r="A107" s="285" t="s">
        <v>118</v>
      </c>
      <c r="B107" s="286">
        <v>900</v>
      </c>
      <c r="C107" s="400" t="s">
        <v>136</v>
      </c>
      <c r="D107" s="401" t="s">
        <v>63</v>
      </c>
      <c r="E107" s="402" t="s">
        <v>119</v>
      </c>
      <c r="F107" s="403" t="s">
        <v>120</v>
      </c>
    </row>
    <row r="108" spans="1:10" ht="26.25" customHeight="1" x14ac:dyDescent="0.45">
      <c r="A108" s="287" t="s">
        <v>121</v>
      </c>
      <c r="B108" s="288">
        <v>1</v>
      </c>
      <c r="C108" s="404">
        <v>1</v>
      </c>
      <c r="D108" s="405">
        <v>47975555</v>
      </c>
      <c r="E108" s="431">
        <f t="shared" ref="E108:E113" si="1">IF(ISBLANK(D108),"-",D108/$D$103*$D$100*$B$116)</f>
        <v>59.575641786225574</v>
      </c>
      <c r="F108" s="406">
        <f>IF(ISBLANK(D108), "-", E108/$B$56)</f>
        <v>0.99292736310375962</v>
      </c>
    </row>
    <row r="109" spans="1:10" ht="26.25" customHeight="1" x14ac:dyDescent="0.45">
      <c r="A109" s="287" t="s">
        <v>95</v>
      </c>
      <c r="B109" s="288">
        <v>1</v>
      </c>
      <c r="C109" s="404">
        <v>2</v>
      </c>
      <c r="D109" s="405">
        <v>47829029</v>
      </c>
      <c r="E109" s="432">
        <f t="shared" si="1"/>
        <v>59.393687028466786</v>
      </c>
      <c r="F109" s="407">
        <f t="shared" ref="F109:F113" si="2">IF(ISBLANK(D109), "-", E109/$B$56)</f>
        <v>0.98989478380777973</v>
      </c>
    </row>
    <row r="110" spans="1:10" ht="26.25" customHeight="1" x14ac:dyDescent="0.45">
      <c r="A110" s="287" t="s">
        <v>96</v>
      </c>
      <c r="B110" s="288">
        <v>1</v>
      </c>
      <c r="C110" s="404">
        <v>3</v>
      </c>
      <c r="D110" s="405">
        <v>48182400</v>
      </c>
      <c r="E110" s="432">
        <f t="shared" si="1"/>
        <v>59.832500172236365</v>
      </c>
      <c r="F110" s="407">
        <f>IF(ISBLANK(D110), "-", E110/$B$56)</f>
        <v>0.99720833620393945</v>
      </c>
    </row>
    <row r="111" spans="1:10" ht="26.25" customHeight="1" x14ac:dyDescent="0.45">
      <c r="A111" s="287" t="s">
        <v>97</v>
      </c>
      <c r="B111" s="288">
        <v>1</v>
      </c>
      <c r="C111" s="404">
        <v>4</v>
      </c>
      <c r="D111" s="405">
        <v>48880202</v>
      </c>
      <c r="E111" s="432">
        <f t="shared" si="1"/>
        <v>60.699024842763095</v>
      </c>
      <c r="F111" s="407">
        <f t="shared" si="2"/>
        <v>1.0116504140460516</v>
      </c>
    </row>
    <row r="112" spans="1:10" ht="26.25" customHeight="1" x14ac:dyDescent="0.45">
      <c r="A112" s="287" t="s">
        <v>98</v>
      </c>
      <c r="B112" s="288">
        <v>1</v>
      </c>
      <c r="C112" s="404">
        <v>5</v>
      </c>
      <c r="D112" s="405">
        <v>47378067</v>
      </c>
      <c r="E112" s="432">
        <f t="shared" si="1"/>
        <v>58.833686199477938</v>
      </c>
      <c r="F112" s="407">
        <f>IF(ISBLANK(D112), "-", E112/$B$56)</f>
        <v>0.98056143665796569</v>
      </c>
    </row>
    <row r="113" spans="1:10" ht="26.25" customHeight="1" x14ac:dyDescent="0.45">
      <c r="A113" s="287" t="s">
        <v>100</v>
      </c>
      <c r="B113" s="288">
        <v>1</v>
      </c>
      <c r="C113" s="408">
        <v>6</v>
      </c>
      <c r="D113" s="409">
        <v>48001755</v>
      </c>
      <c r="E113" s="433">
        <f t="shared" si="1"/>
        <v>59.608176726463356</v>
      </c>
      <c r="F113" s="410">
        <f t="shared" si="2"/>
        <v>0.99346961210772256</v>
      </c>
    </row>
    <row r="114" spans="1:10" ht="26.25" customHeight="1" thickBot="1" x14ac:dyDescent="0.5">
      <c r="A114" s="287" t="s">
        <v>101</v>
      </c>
      <c r="B114" s="288">
        <v>1</v>
      </c>
      <c r="C114" s="404"/>
      <c r="D114" s="358"/>
      <c r="E114" s="261"/>
      <c r="F114" s="411"/>
    </row>
    <row r="115" spans="1:10" ht="26.25" customHeight="1" x14ac:dyDescent="0.45">
      <c r="A115" s="287" t="s">
        <v>102</v>
      </c>
      <c r="B115" s="288">
        <v>1</v>
      </c>
      <c r="C115" s="404"/>
      <c r="D115" s="490" t="s">
        <v>71</v>
      </c>
      <c r="E115" s="493">
        <f>AVERAGE(E108:E113)</f>
        <v>59.657119459272188</v>
      </c>
      <c r="F115" s="494">
        <f>AVERAGE(F108:F113)</f>
        <v>0.9942853243212032</v>
      </c>
    </row>
    <row r="116" spans="1:10" ht="27" customHeight="1" thickBot="1" x14ac:dyDescent="0.5">
      <c r="A116" s="287" t="s">
        <v>103</v>
      </c>
      <c r="B116" s="317">
        <f>(B115/B114)*(B113/B112)*(B111/B110)*(B109/B108)*B107</f>
        <v>900</v>
      </c>
      <c r="C116" s="412"/>
      <c r="D116" s="492" t="s">
        <v>84</v>
      </c>
      <c r="E116" s="495">
        <f>STDEV(E108:E113)/E115</f>
        <v>1.0258838908461182E-2</v>
      </c>
      <c r="F116" s="496">
        <f>STDEV(F108:F113)/F115</f>
        <v>1.0258838908461182E-2</v>
      </c>
      <c r="I116" s="261"/>
    </row>
    <row r="117" spans="1:10" ht="27" customHeight="1" thickBot="1" x14ac:dyDescent="0.5">
      <c r="A117" s="531" t="s">
        <v>78</v>
      </c>
      <c r="B117" s="532"/>
      <c r="C117" s="413"/>
      <c r="D117" s="491" t="s">
        <v>20</v>
      </c>
      <c r="E117" s="497">
        <f>COUNT(E108:E113)</f>
        <v>6</v>
      </c>
      <c r="F117" s="498">
        <f>COUNT(F108:F113)</f>
        <v>6</v>
      </c>
      <c r="I117" s="261"/>
      <c r="J117" s="397"/>
    </row>
    <row r="118" spans="1:10" ht="19.5" customHeight="1" thickBot="1" x14ac:dyDescent="0.4">
      <c r="A118" s="522"/>
      <c r="B118" s="524"/>
      <c r="C118" s="261"/>
      <c r="D118" s="261"/>
      <c r="E118" s="261"/>
      <c r="F118" s="358"/>
      <c r="G118" s="261"/>
      <c r="H118" s="261"/>
      <c r="I118" s="261"/>
    </row>
    <row r="119" spans="1:10" ht="18" x14ac:dyDescent="0.35">
      <c r="A119" s="422"/>
      <c r="B119" s="283"/>
      <c r="C119" s="261"/>
      <c r="D119" s="261"/>
      <c r="E119" s="261"/>
      <c r="F119" s="358"/>
      <c r="G119" s="261"/>
      <c r="H119" s="261"/>
      <c r="I119" s="261"/>
    </row>
    <row r="120" spans="1:10" ht="26.25" customHeight="1" x14ac:dyDescent="0.45">
      <c r="A120" s="271" t="s">
        <v>106</v>
      </c>
      <c r="B120" s="365" t="s">
        <v>122</v>
      </c>
      <c r="C120" s="541" t="str">
        <f>B79</f>
        <v>Zidovudine</v>
      </c>
      <c r="D120" s="541"/>
      <c r="E120" s="366" t="s">
        <v>123</v>
      </c>
      <c r="F120" s="366"/>
      <c r="G120" s="367">
        <f>F115</f>
        <v>0.9942853243212032</v>
      </c>
      <c r="H120" s="261"/>
      <c r="I120" s="261"/>
    </row>
    <row r="121" spans="1:10" ht="19.5" customHeight="1" x14ac:dyDescent="0.35">
      <c r="A121" s="414"/>
      <c r="B121" s="414"/>
      <c r="C121" s="415"/>
      <c r="D121" s="415"/>
      <c r="E121" s="415"/>
      <c r="F121" s="415"/>
      <c r="G121" s="415"/>
      <c r="H121" s="415"/>
    </row>
    <row r="122" spans="1:10" ht="18" x14ac:dyDescent="0.35">
      <c r="B122" s="542" t="s">
        <v>26</v>
      </c>
      <c r="C122" s="542"/>
      <c r="E122" s="372" t="s">
        <v>27</v>
      </c>
      <c r="F122" s="416"/>
      <c r="G122" s="542" t="s">
        <v>28</v>
      </c>
      <c r="H122" s="542"/>
    </row>
    <row r="123" spans="1:10" ht="69.900000000000006" customHeight="1" x14ac:dyDescent="0.35">
      <c r="A123" s="417" t="s">
        <v>29</v>
      </c>
      <c r="B123" s="418"/>
      <c r="C123" s="418" t="s">
        <v>124</v>
      </c>
      <c r="E123" s="375" t="s">
        <v>125</v>
      </c>
      <c r="F123" s="261"/>
      <c r="G123" s="419"/>
      <c r="H123" s="419"/>
    </row>
    <row r="124" spans="1:10" ht="69.900000000000006" customHeight="1" x14ac:dyDescent="0.35">
      <c r="A124" s="417" t="s">
        <v>30</v>
      </c>
      <c r="B124" s="420"/>
      <c r="C124" s="420" t="s">
        <v>131</v>
      </c>
      <c r="E124" s="500">
        <v>42347</v>
      </c>
      <c r="F124" s="261"/>
      <c r="G124" s="421"/>
      <c r="H124" s="421"/>
    </row>
    <row r="125" spans="1:10" ht="18" x14ac:dyDescent="0.35">
      <c r="A125" s="357"/>
      <c r="B125" s="357"/>
      <c r="C125" s="358"/>
      <c r="D125" s="358"/>
      <c r="E125" s="358"/>
      <c r="F125" s="362"/>
      <c r="G125" s="358"/>
      <c r="H125" s="358"/>
      <c r="I125" s="261"/>
    </row>
    <row r="126" spans="1:10" ht="18" x14ac:dyDescent="0.35">
      <c r="A126" s="357"/>
      <c r="B126" s="357"/>
      <c r="C126" s="358"/>
      <c r="D126" s="358"/>
      <c r="E126" s="358"/>
      <c r="F126" s="362"/>
      <c r="G126" s="358"/>
      <c r="H126" s="358"/>
      <c r="I126" s="261"/>
    </row>
    <row r="127" spans="1:10" ht="18" x14ac:dyDescent="0.35">
      <c r="A127" s="357"/>
      <c r="B127" s="357"/>
      <c r="C127" s="358"/>
      <c r="D127" s="358"/>
      <c r="E127" s="358"/>
      <c r="F127" s="362"/>
      <c r="G127" s="358"/>
      <c r="H127" s="358"/>
      <c r="I127" s="261"/>
    </row>
    <row r="128" spans="1:10" ht="18" x14ac:dyDescent="0.35">
      <c r="A128" s="357"/>
      <c r="B128" s="357"/>
      <c r="C128" s="358"/>
      <c r="D128" s="358"/>
      <c r="E128" s="358"/>
      <c r="F128" s="362"/>
      <c r="G128" s="358"/>
      <c r="H128" s="358"/>
      <c r="I128" s="261"/>
    </row>
    <row r="129" spans="1:9" ht="18" x14ac:dyDescent="0.35">
      <c r="A129" s="357"/>
      <c r="B129" s="357"/>
      <c r="C129" s="358"/>
      <c r="D129" s="358"/>
      <c r="E129" s="358"/>
      <c r="F129" s="362"/>
      <c r="G129" s="358"/>
      <c r="H129" s="358"/>
      <c r="I129" s="261"/>
    </row>
    <row r="130" spans="1:9" ht="18" x14ac:dyDescent="0.35">
      <c r="A130" s="357"/>
      <c r="B130" s="357"/>
      <c r="C130" s="358"/>
      <c r="D130" s="358"/>
      <c r="E130" s="358"/>
      <c r="F130" s="362"/>
      <c r="G130" s="358"/>
      <c r="H130" s="358"/>
      <c r="I130" s="261"/>
    </row>
    <row r="131" spans="1:9" ht="18" x14ac:dyDescent="0.35">
      <c r="A131" s="357"/>
      <c r="B131" s="357"/>
      <c r="C131" s="358"/>
      <c r="D131" s="358"/>
      <c r="E131" s="358"/>
      <c r="F131" s="362"/>
      <c r="G131" s="358"/>
      <c r="H131" s="358"/>
      <c r="I131" s="261"/>
    </row>
    <row r="132" spans="1:9" ht="18" x14ac:dyDescent="0.35">
      <c r="A132" s="357"/>
      <c r="B132" s="357"/>
      <c r="C132" s="358"/>
      <c r="D132" s="358"/>
      <c r="E132" s="358"/>
      <c r="F132" s="362"/>
      <c r="G132" s="358"/>
      <c r="H132" s="358"/>
      <c r="I132" s="261"/>
    </row>
    <row r="133" spans="1:9" ht="18" x14ac:dyDescent="0.35">
      <c r="A133" s="357"/>
      <c r="B133" s="357"/>
      <c r="C133" s="358"/>
      <c r="D133" s="358"/>
      <c r="E133" s="358"/>
      <c r="F133" s="362"/>
      <c r="G133" s="358"/>
      <c r="H133" s="358"/>
      <c r="I133" s="261"/>
    </row>
    <row r="250" spans="1:1" x14ac:dyDescent="0.3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2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C29:G29"/>
    <mergeCell ref="C31:H31"/>
    <mergeCell ref="C32:H32"/>
    <mergeCell ref="D36:E36"/>
    <mergeCell ref="F36:G3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- 3TC</vt:lpstr>
      <vt:lpstr>SST - AZT</vt:lpstr>
      <vt:lpstr>Uniformity</vt:lpstr>
      <vt:lpstr>Lamivudine</vt:lpstr>
      <vt:lpstr>Zidovudine</vt:lpstr>
      <vt:lpstr>Lamivudine!Print_Area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2015-11-18T05:09:37Z</cp:lastPrinted>
  <dcterms:created xsi:type="dcterms:W3CDTF">2005-07-05T10:19:27Z</dcterms:created>
  <dcterms:modified xsi:type="dcterms:W3CDTF">2015-12-09T13:51:40Z</dcterms:modified>
</cp:coreProperties>
</file>