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Worksheets\LIMS Worksheets\Reviewed Worksheets\July 2017\"/>
    </mc:Choice>
  </mc:AlternateContent>
  <bookViews>
    <workbookView xWindow="0" yWindow="0" windowWidth="10620" windowHeight="4545" firstSheet="2" activeTab="2"/>
  </bookViews>
  <sheets>
    <sheet name="SST ARTEMETHER" sheetId="1" r:id="rId1"/>
    <sheet name="Uniformity" sheetId="2" r:id="rId2"/>
    <sheet name="Artemether" sheetId="3" r:id="rId3"/>
    <sheet name="lumefantrine" sheetId="4" r:id="rId4"/>
    <sheet name="SST LUMEFANTRINE" sheetId="5" r:id="rId5"/>
  </sheets>
  <definedNames>
    <definedName name="_xlnm.Print_Area" localSheetId="2">Artemether!$A$1:$H$178</definedName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57" i="3" l="1"/>
  <c r="B42" i="1" l="1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73" i="3"/>
  <c r="B169" i="3"/>
  <c r="C156" i="3"/>
  <c r="B152" i="3"/>
  <c r="C139" i="3"/>
  <c r="B135" i="3"/>
  <c r="C122" i="3"/>
  <c r="B118" i="3"/>
  <c r="D102" i="3" s="1"/>
  <c r="B100" i="3"/>
  <c r="F97" i="3"/>
  <c r="D97" i="3"/>
  <c r="G96" i="3"/>
  <c r="E96" i="3"/>
  <c r="B89" i="3"/>
  <c r="F99" i="3" s="1"/>
  <c r="B83" i="3"/>
  <c r="B82" i="3"/>
  <c r="B81" i="3"/>
  <c r="B80" i="3"/>
  <c r="C76" i="3"/>
  <c r="H71" i="3"/>
  <c r="G71" i="3"/>
  <c r="B68" i="3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F44" i="3" s="1"/>
  <c r="B30" i="3"/>
  <c r="C46" i="2"/>
  <c r="C45" i="2"/>
  <c r="D37" i="2"/>
  <c r="D36" i="2"/>
  <c r="D32" i="2"/>
  <c r="D30" i="2"/>
  <c r="D26" i="2"/>
  <c r="D25" i="2"/>
  <c r="C19" i="2"/>
  <c r="B53" i="1"/>
  <c r="E51" i="1"/>
  <c r="D51" i="1"/>
  <c r="C51" i="1"/>
  <c r="B51" i="1"/>
  <c r="B52" i="1" s="1"/>
  <c r="B32" i="1"/>
  <c r="D30" i="1"/>
  <c r="C30" i="1"/>
  <c r="B30" i="1"/>
  <c r="B31" i="1" s="1"/>
  <c r="D28" i="2" l="1"/>
  <c r="D33" i="2"/>
  <c r="D40" i="2"/>
  <c r="D49" i="2"/>
  <c r="D24" i="2"/>
  <c r="D29" i="2"/>
  <c r="D34" i="2"/>
  <c r="D41" i="2"/>
  <c r="B84" i="3"/>
  <c r="F100" i="3" s="1"/>
  <c r="F101" i="3" s="1"/>
  <c r="I92" i="4"/>
  <c r="D101" i="4"/>
  <c r="D102" i="4" s="1"/>
  <c r="I39" i="4"/>
  <c r="F44" i="4"/>
  <c r="F45" i="4" s="1"/>
  <c r="G41" i="4" s="1"/>
  <c r="D45" i="4"/>
  <c r="E39" i="4" s="1"/>
  <c r="D103" i="3"/>
  <c r="F45" i="3"/>
  <c r="G38" i="3" s="1"/>
  <c r="B69" i="4"/>
  <c r="E41" i="4"/>
  <c r="F98" i="4"/>
  <c r="D97" i="4"/>
  <c r="D98" i="4" s="1"/>
  <c r="C50" i="2"/>
  <c r="D44" i="3"/>
  <c r="D45" i="3" s="1"/>
  <c r="D46" i="3" s="1"/>
  <c r="D49" i="3"/>
  <c r="D99" i="3"/>
  <c r="D100" i="3" s="1"/>
  <c r="D101" i="3" s="1"/>
  <c r="D49" i="4"/>
  <c r="D42" i="2"/>
  <c r="D38" i="2"/>
  <c r="B49" i="2"/>
  <c r="D50" i="2"/>
  <c r="D27" i="2"/>
  <c r="D31" i="2"/>
  <c r="D35" i="2"/>
  <c r="D39" i="2"/>
  <c r="D43" i="2"/>
  <c r="C49" i="2"/>
  <c r="B69" i="3"/>
  <c r="G39" i="3" l="1"/>
  <c r="F46" i="3"/>
  <c r="G95" i="3"/>
  <c r="E40" i="4"/>
  <c r="G94" i="4"/>
  <c r="G40" i="4"/>
  <c r="G38" i="4"/>
  <c r="F46" i="4"/>
  <c r="E38" i="4"/>
  <c r="G39" i="4"/>
  <c r="D46" i="4"/>
  <c r="G93" i="4"/>
  <c r="G94" i="3"/>
  <c r="D104" i="3"/>
  <c r="E95" i="3"/>
  <c r="E94" i="3"/>
  <c r="G93" i="3"/>
  <c r="E39" i="3"/>
  <c r="G40" i="3"/>
  <c r="G42" i="3" s="1"/>
  <c r="E94" i="4"/>
  <c r="D99" i="4"/>
  <c r="E93" i="4"/>
  <c r="E91" i="4"/>
  <c r="E40" i="3"/>
  <c r="F99" i="4"/>
  <c r="G92" i="4"/>
  <c r="G91" i="4"/>
  <c r="E92" i="4"/>
  <c r="E38" i="3"/>
  <c r="E93" i="3"/>
  <c r="E42" i="4" l="1"/>
  <c r="G42" i="4"/>
  <c r="D52" i="4"/>
  <c r="D50" i="4"/>
  <c r="G65" i="4" s="1"/>
  <c r="H65" i="4" s="1"/>
  <c r="G95" i="4"/>
  <c r="G97" i="3"/>
  <c r="D103" i="4"/>
  <c r="E95" i="4"/>
  <c r="D105" i="4"/>
  <c r="D105" i="3"/>
  <c r="E97" i="3"/>
  <c r="D107" i="3"/>
  <c r="D50" i="3"/>
  <c r="E42" i="3"/>
  <c r="D52" i="3"/>
  <c r="D51" i="4" l="1"/>
  <c r="G64" i="4"/>
  <c r="H64" i="4" s="1"/>
  <c r="G68" i="4"/>
  <c r="H68" i="4" s="1"/>
  <c r="G61" i="4"/>
  <c r="H61" i="4" s="1"/>
  <c r="G60" i="4"/>
  <c r="H60" i="4" s="1"/>
  <c r="G70" i="4"/>
  <c r="H70" i="4" s="1"/>
  <c r="G66" i="4"/>
  <c r="H66" i="4" s="1"/>
  <c r="G63" i="4"/>
  <c r="H63" i="4" s="1"/>
  <c r="G69" i="4"/>
  <c r="H69" i="4" s="1"/>
  <c r="G67" i="4"/>
  <c r="H67" i="4" s="1"/>
  <c r="G62" i="4"/>
  <c r="H62" i="4" s="1"/>
  <c r="G71" i="4"/>
  <c r="H71" i="4" s="1"/>
  <c r="D51" i="3"/>
  <c r="G70" i="3"/>
  <c r="H70" i="3" s="1"/>
  <c r="G65" i="3"/>
  <c r="H65" i="3" s="1"/>
  <c r="G61" i="3"/>
  <c r="H61" i="3" s="1"/>
  <c r="G68" i="3"/>
  <c r="H68" i="3" s="1"/>
  <c r="G69" i="3"/>
  <c r="H69" i="3" s="1"/>
  <c r="G66" i="3"/>
  <c r="H66" i="3" s="1"/>
  <c r="G64" i="3"/>
  <c r="H64" i="3" s="1"/>
  <c r="G62" i="3"/>
  <c r="H62" i="3" s="1"/>
  <c r="G60" i="3"/>
  <c r="H60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66" i="3"/>
  <c r="F166" i="3" s="1"/>
  <c r="E164" i="3"/>
  <c r="F164" i="3" s="1"/>
  <c r="E162" i="3"/>
  <c r="F162" i="3" s="1"/>
  <c r="E148" i="3"/>
  <c r="F148" i="3" s="1"/>
  <c r="E146" i="3"/>
  <c r="F146" i="3" s="1"/>
  <c r="E144" i="3"/>
  <c r="F144" i="3" s="1"/>
  <c r="E132" i="3"/>
  <c r="F132" i="3" s="1"/>
  <c r="E130" i="3"/>
  <c r="F130" i="3" s="1"/>
  <c r="E128" i="3"/>
  <c r="F128" i="3" s="1"/>
  <c r="E114" i="3"/>
  <c r="F114" i="3" s="1"/>
  <c r="E112" i="3"/>
  <c r="F112" i="3" s="1"/>
  <c r="E110" i="3"/>
  <c r="F110" i="3" s="1"/>
  <c r="E165" i="3"/>
  <c r="F165" i="3" s="1"/>
  <c r="E163" i="3"/>
  <c r="F163" i="3" s="1"/>
  <c r="E161" i="3"/>
  <c r="F161" i="3" s="1"/>
  <c r="E149" i="3"/>
  <c r="F149" i="3" s="1"/>
  <c r="E147" i="3"/>
  <c r="F147" i="3" s="1"/>
  <c r="E145" i="3"/>
  <c r="F145" i="3" s="1"/>
  <c r="E131" i="3"/>
  <c r="F131" i="3" s="1"/>
  <c r="E129" i="3"/>
  <c r="F129" i="3" s="1"/>
  <c r="E127" i="3"/>
  <c r="F127" i="3" s="1"/>
  <c r="E115" i="3"/>
  <c r="F115" i="3" s="1"/>
  <c r="E113" i="3"/>
  <c r="F113" i="3" s="1"/>
  <c r="E111" i="3"/>
  <c r="F111" i="3" s="1"/>
  <c r="D106" i="3"/>
  <c r="G72" i="4" l="1"/>
  <c r="G73" i="4" s="1"/>
  <c r="G74" i="4"/>
  <c r="F151" i="3"/>
  <c r="F153" i="3"/>
  <c r="H72" i="3"/>
  <c r="H74" i="3"/>
  <c r="F136" i="3"/>
  <c r="F134" i="3"/>
  <c r="F117" i="3"/>
  <c r="F119" i="3"/>
  <c r="E120" i="4"/>
  <c r="E117" i="4"/>
  <c r="F108" i="4"/>
  <c r="E115" i="4"/>
  <c r="E116" i="4" s="1"/>
  <c r="E119" i="4"/>
  <c r="F170" i="3"/>
  <c r="F168" i="3"/>
  <c r="H74" i="4"/>
  <c r="H72" i="4"/>
  <c r="F125" i="4" l="1"/>
  <c r="F120" i="4"/>
  <c r="F117" i="4"/>
  <c r="D125" i="4"/>
  <c r="F115" i="4"/>
  <c r="F119" i="4"/>
  <c r="H73" i="3"/>
  <c r="G76" i="3"/>
  <c r="F169" i="3"/>
  <c r="G173" i="3"/>
  <c r="G122" i="3"/>
  <c r="F118" i="3"/>
  <c r="F135" i="3"/>
  <c r="G139" i="3"/>
  <c r="G76" i="4"/>
  <c r="H73" i="4"/>
  <c r="G156" i="3"/>
  <c r="F152" i="3"/>
  <c r="G124" i="4" l="1"/>
  <c r="F116" i="4"/>
</calcChain>
</file>

<file path=xl/sharedStrings.xml><?xml version="1.0" encoding="utf-8"?>
<sst xmlns="http://schemas.openxmlformats.org/spreadsheetml/2006/main" count="518" uniqueCount="151">
  <si>
    <t>HPLC System Suitability Report</t>
  </si>
  <si>
    <t>Analysis Data</t>
  </si>
  <si>
    <t>Assay</t>
  </si>
  <si>
    <t>Sample(s)</t>
  </si>
  <si>
    <t>Reference Substance:</t>
  </si>
  <si>
    <t>COARTEM  DISPERSIBLE 20 MG/ 120 MG TABLETS</t>
  </si>
  <si>
    <t>% age Purity:</t>
  </si>
  <si>
    <t>NDQD201706444</t>
  </si>
  <si>
    <t>Weight (mg):</t>
  </si>
  <si>
    <t>Artemether 20mg, Lumefantrine 120mg</t>
  </si>
  <si>
    <t>Standard Conc (mg/mL):</t>
  </si>
  <si>
    <t>Each contains artemer 20 mg and lumefantrine 120 mg</t>
  </si>
  <si>
    <t>2017-06-29 13:51:10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</si>
  <si>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</si>
  <si>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</si>
  <si>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</si>
  <si>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</si>
  <si>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</si>
  <si>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</si>
  <si>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</si>
  <si>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</si>
  <si>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</si>
  <si>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</si>
  <si>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</si>
  <si>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</si>
  <si>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</si>
  <si>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</si>
  <si>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</si>
  <si>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</si>
  <si>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</si>
  <si>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</si>
  <si>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</si>
  <si>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</si>
  <si>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</si>
  <si>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</si>
  <si>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</si>
  <si>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</si>
  <si>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</si>
  <si>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</si>
  <si>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</si>
  <si>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</si>
  <si>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</si>
  <si>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</si>
  <si>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</si>
  <si>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</si>
  <si>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</si>
  <si>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</si>
  <si>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</si>
  <si>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</si>
  <si>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</si>
  <si>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</si>
  <si>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</si>
  <si>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</si>
  <si>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</si>
  <si>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</si>
  <si>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</si>
  <si>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</si>
  <si>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</si>
  <si>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</si>
  <si>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</si>
  <si>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</si>
  <si>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</si>
  <si>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</si>
  <si>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</si>
  <si>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</si>
  <si>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</si>
  <si>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</si>
  <si>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</si>
  <si>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</si>
  <si>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</si>
  <si>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</si>
  <si>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</si>
  <si>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</si>
  <si>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</si>
  <si>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</si>
  <si>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</si>
  <si>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</si>
  <si>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</si>
  <si>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</si>
  <si>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</si>
  <si>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</si>
  <si>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</si>
  <si>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</si>
  <si>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</si>
  <si>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</si>
  <si>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</si>
  <si>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</si>
  <si>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</si>
  <si>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</si>
  <si>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</si>
  <si>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</si>
  <si>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</si>
  <si>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</si>
  <si>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</si>
  <si>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</si>
  <si>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</si>
  <si>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</si>
  <si>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</si>
  <si>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</si>
  <si>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</si>
  <si>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</si>
  <si>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</si>
  <si>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</si>
  <si>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</si>
  <si>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</si>
  <si>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</si>
  <si>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</si>
  <si>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</si>
  <si>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</si>
  <si>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</si>
  <si>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</si>
  <si>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1hr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</si>
  <si>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</si>
  <si>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</si>
  <si>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</si>
  <si>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</si>
  <si>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</si>
  <si>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</si>
  <si>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</si>
  <si>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</si>
  <si>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</si>
  <si>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</si>
  <si>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</si>
  <si>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</si>
  <si>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</si>
  <si>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</si>
  <si>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</si>
  <si>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</si>
  <si>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</si>
  <si>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</si>
  <si>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</si>
  <si>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</si>
  <si>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</si>
  <si>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</si>
  <si>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</si>
  <si>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</si>
  <si>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</si>
  <si>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</si>
  <si>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</si>
  <si>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</si>
  <si>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</si>
  <si>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</si>
  <si>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Artemether</t>
  </si>
  <si>
    <t>Lumefantrine</t>
  </si>
  <si>
    <t>ARTEMETHER</t>
  </si>
  <si>
    <t>SST</t>
  </si>
  <si>
    <r>
      <t>The Assymetry of all peaks were below</t>
    </r>
    <r>
      <rPr>
        <b/>
        <sz val="12"/>
        <color rgb="FF000000"/>
        <rFont val="Book Antiqua"/>
      </rPr>
      <t xml:space="preserve"> 4.5</t>
    </r>
  </si>
  <si>
    <t>MAL-AL 20/120</t>
  </si>
  <si>
    <t>NDQD201509286</t>
  </si>
  <si>
    <t>WS/14/046</t>
  </si>
  <si>
    <t>F0J018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</si>
</sst>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dd\-mmm\-yyyy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20"/>
      <color rgb="FF000000"/>
      <name val="Book Antiqua"/>
    </font>
    <font>
      <b/>
      <u/>
      <sz val="20"/>
      <color rgb="FF000000"/>
      <name val="Book Antiqua"/>
    </font>
    <font>
      <sz val="20"/>
      <color rgb="FF000000"/>
      <name val="Book Antiqua"/>
    </font>
    <font>
      <b/>
      <sz val="36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2" fillId="7" borderId="41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center"/>
    </xf>
    <xf numFmtId="1" fontId="12" fillId="6" borderId="46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70" fontId="11" fillId="2" borderId="49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50" xfId="0" applyNumberFormat="1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2" fontId="21" fillId="3" borderId="0" xfId="0" applyNumberFormat="1" applyFont="1" applyFill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23" xfId="0" applyFont="1" applyFill="1" applyBorder="1" applyAlignment="1" applyProtection="1">
      <alignment horizontal="center"/>
      <protection locked="0"/>
    </xf>
    <xf numFmtId="0" fontId="21" fillId="3" borderId="55" xfId="0" applyFont="1" applyFill="1" applyBorder="1" applyAlignment="1" applyProtection="1">
      <alignment horizontal="center"/>
      <protection locked="0"/>
    </xf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9" xfId="0" applyFont="1" applyFill="1" applyBorder="1" applyAlignment="1" applyProtection="1">
      <alignment horizontal="center"/>
      <protection locked="0"/>
    </xf>
    <xf numFmtId="0" fontId="21" fillId="3" borderId="56" xfId="0" applyFont="1" applyFill="1" applyBorder="1" applyAlignment="1" applyProtection="1">
      <alignment horizontal="center"/>
      <protection locked="0"/>
    </xf>
    <xf numFmtId="0" fontId="21" fillId="3" borderId="16" xfId="0" applyFont="1" applyFill="1" applyBorder="1" applyAlignment="1" applyProtection="1">
      <alignment horizontal="center"/>
      <protection locked="0"/>
    </xf>
    <xf numFmtId="0" fontId="21" fillId="3" borderId="41" xfId="0" applyFont="1" applyFill="1" applyBorder="1" applyAlignment="1" applyProtection="1">
      <alignment horizontal="center"/>
      <protection locked="0"/>
    </xf>
    <xf numFmtId="0" fontId="21" fillId="3" borderId="21" xfId="0" applyFont="1" applyFill="1" applyBorder="1" applyAlignment="1" applyProtection="1">
      <alignment horizontal="center"/>
      <protection locked="0"/>
    </xf>
    <xf numFmtId="0" fontId="21" fillId="3" borderId="42" xfId="0" applyFont="1" applyFill="1" applyBorder="1" applyAlignment="1" applyProtection="1">
      <alignment horizontal="center"/>
      <protection locked="0"/>
    </xf>
    <xf numFmtId="10" fontId="21" fillId="7" borderId="28" xfId="0" applyNumberFormat="1" applyFont="1" applyFill="1" applyBorder="1" applyAlignment="1">
      <alignment horizontal="center"/>
    </xf>
    <xf numFmtId="10" fontId="21" fillId="6" borderId="57" xfId="0" applyNumberFormat="1" applyFont="1" applyFill="1" applyBorder="1" applyAlignment="1">
      <alignment horizontal="center"/>
    </xf>
    <xf numFmtId="0" fontId="21" fillId="7" borderId="58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0" fontId="21" fillId="3" borderId="29" xfId="0" applyNumberFormat="1" applyFont="1" applyFill="1" applyBorder="1" applyAlignment="1" applyProtection="1">
      <alignment horizontal="center"/>
      <protection locked="0"/>
    </xf>
    <xf numFmtId="1" fontId="21" fillId="3" borderId="39" xfId="0" applyNumberFormat="1" applyFont="1" applyFill="1" applyBorder="1" applyAlignment="1" applyProtection="1">
      <alignment horizontal="center"/>
      <protection locked="0"/>
    </xf>
    <xf numFmtId="1" fontId="21" fillId="3" borderId="40" xfId="0" applyNumberFormat="1" applyFont="1" applyFill="1" applyBorder="1" applyAlignment="1" applyProtection="1">
      <alignment horizontal="center"/>
      <protection locked="0"/>
    </xf>
    <xf numFmtId="10" fontId="21" fillId="7" borderId="41" xfId="0" applyNumberFormat="1" applyFont="1" applyFill="1" applyBorder="1" applyAlignment="1">
      <alignment horizontal="center"/>
    </xf>
    <xf numFmtId="10" fontId="21" fillId="6" borderId="41" xfId="0" applyNumberFormat="1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11" fillId="3" borderId="0" xfId="0" applyFont="1" applyFill="1"/>
    <xf numFmtId="0" fontId="2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21" fillId="2" borderId="0" xfId="0" applyFont="1" applyFill="1" applyAlignment="1" applyProtection="1">
      <alignment horizontal="left"/>
      <protection locked="0"/>
    </xf>
    <xf numFmtId="0" fontId="23" fillId="2" borderId="0" xfId="0" applyFont="1" applyFill="1"/>
    <xf numFmtId="0" fontId="2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2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21" fillId="3" borderId="0" xfId="0" applyFont="1" applyFill="1" applyAlignment="1" applyProtection="1">
      <alignment horizontal="center"/>
      <protection locked="0"/>
    </xf>
    <xf numFmtId="0" fontId="23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21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21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right"/>
    </xf>
    <xf numFmtId="0" fontId="21" fillId="3" borderId="23" xfId="0" applyFont="1" applyFill="1" applyBorder="1" applyAlignment="1" applyProtection="1">
      <alignment horizontal="center"/>
      <protection locked="0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4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21" fillId="3" borderId="55" xfId="0" applyFont="1" applyFill="1" applyBorder="1" applyAlignment="1" applyProtection="1">
      <alignment horizontal="center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0" fontId="16" fillId="2" borderId="13" xfId="0" applyFont="1" applyFill="1" applyBorder="1"/>
    <xf numFmtId="0" fontId="11" fillId="2" borderId="23" xfId="0" applyFont="1" applyFill="1" applyBorder="1" applyAlignment="1">
      <alignment horizontal="center"/>
    </xf>
    <xf numFmtId="0" fontId="21" fillId="3" borderId="22" xfId="0" applyFont="1" applyFill="1" applyBorder="1" applyAlignment="1" applyProtection="1">
      <alignment horizontal="center"/>
      <protection locked="0"/>
    </xf>
    <xf numFmtId="170" fontId="11" fillId="2" borderId="39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21" fillId="3" borderId="29" xfId="0" applyFont="1" applyFill="1" applyBorder="1" applyAlignment="1" applyProtection="1">
      <alignment horizontal="center"/>
      <protection locked="0"/>
    </xf>
    <xf numFmtId="170" fontId="11" fillId="2" borderId="40" xfId="0" applyNumberFormat="1" applyFont="1" applyFill="1" applyBorder="1" applyAlignment="1">
      <alignment horizontal="center"/>
    </xf>
    <xf numFmtId="170" fontId="11" fillId="2" borderId="49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4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21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2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166" fontId="21" fillId="3" borderId="32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55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21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21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21" fillId="3" borderId="22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21" fillId="3" borderId="42" xfId="0" applyFont="1" applyFill="1" applyBorder="1" applyAlignment="1" applyProtection="1">
      <alignment horizontal="center"/>
      <protection locked="0"/>
    </xf>
    <xf numFmtId="0" fontId="23" fillId="2" borderId="23" xfId="0" applyFont="1" applyFill="1" applyBorder="1" applyAlignment="1">
      <alignment horizontal="center"/>
    </xf>
    <xf numFmtId="2" fontId="23" fillId="2" borderId="5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1" fillId="2" borderId="32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21" fillId="7" borderId="58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2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21" fillId="3" borderId="0" xfId="0" applyFont="1" applyFill="1" applyAlignment="1" applyProtection="1">
      <alignment horizontal="center"/>
      <protection locked="0"/>
    </xf>
    <xf numFmtId="0" fontId="12" fillId="2" borderId="3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21" fillId="3" borderId="29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1" fontId="12" fillId="6" borderId="46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21" fillId="3" borderId="56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4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32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 wrapText="1"/>
    </xf>
    <xf numFmtId="0" fontId="11" fillId="2" borderId="22" xfId="0" applyFont="1" applyFill="1" applyBorder="1" applyAlignment="1">
      <alignment horizontal="center"/>
    </xf>
    <xf numFmtId="0" fontId="11" fillId="2" borderId="22" xfId="0" applyFont="1" applyFill="1" applyBorder="1"/>
    <xf numFmtId="10" fontId="21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21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21" fillId="6" borderId="57" xfId="0" applyNumberFormat="1" applyFont="1" applyFill="1" applyBorder="1" applyAlignment="1">
      <alignment horizontal="center"/>
    </xf>
    <xf numFmtId="2" fontId="21" fillId="7" borderId="28" xfId="0" applyNumberFormat="1" applyFont="1" applyFill="1" applyBorder="1" applyAlignment="1">
      <alignment horizontal="center"/>
    </xf>
    <xf numFmtId="0" fontId="23" fillId="2" borderId="0" xfId="0" applyFont="1" applyFill="1"/>
    <xf numFmtId="10" fontId="21" fillId="6" borderId="57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21" fillId="7" borderId="54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21" fillId="7" borderId="27" xfId="0" applyFont="1" applyFill="1" applyBorder="1" applyAlignment="1">
      <alignment horizontal="center"/>
    </xf>
    <xf numFmtId="0" fontId="21" fillId="7" borderId="60" xfId="0" applyFont="1" applyFill="1" applyBorder="1" applyAlignment="1">
      <alignment horizontal="center"/>
    </xf>
    <xf numFmtId="2" fontId="21" fillId="6" borderId="57" xfId="0" applyNumberFormat="1" applyFont="1" applyFill="1" applyBorder="1" applyAlignment="1">
      <alignment horizontal="center"/>
    </xf>
    <xf numFmtId="2" fontId="21" fillId="7" borderId="58" xfId="0" applyNumberFormat="1" applyFont="1" applyFill="1" applyBorder="1" applyAlignment="1">
      <alignment horizontal="center"/>
    </xf>
    <xf numFmtId="166" fontId="11" fillId="2" borderId="42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21" fillId="7" borderId="28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23" xfId="0" applyNumberFormat="1" applyFont="1" applyFill="1" applyBorder="1" applyAlignment="1">
      <alignment horizontal="center"/>
    </xf>
    <xf numFmtId="173" fontId="11" fillId="2" borderId="50" xfId="0" applyNumberFormat="1" applyFont="1" applyFill="1" applyBorder="1" applyAlignment="1">
      <alignment horizontal="center"/>
    </xf>
    <xf numFmtId="173" fontId="11" fillId="2" borderId="23" xfId="0" applyNumberFormat="1" applyFont="1" applyFill="1" applyBorder="1" applyAlignment="1">
      <alignment horizontal="center"/>
    </xf>
    <xf numFmtId="174" fontId="21" fillId="7" borderId="56" xfId="0" applyNumberFormat="1" applyFont="1" applyFill="1" applyBorder="1" applyAlignment="1">
      <alignment horizontal="center"/>
    </xf>
    <xf numFmtId="174" fontId="21" fillId="6" borderId="57" xfId="0" applyNumberFormat="1" applyFont="1" applyFill="1" applyBorder="1" applyAlignment="1">
      <alignment horizontal="center"/>
    </xf>
    <xf numFmtId="174" fontId="21" fillId="7" borderId="58" xfId="0" applyNumberFormat="1" applyFont="1" applyFill="1" applyBorder="1" applyAlignment="1">
      <alignment horizontal="center"/>
    </xf>
    <xf numFmtId="175" fontId="24" fillId="2" borderId="0" xfId="0" applyNumberFormat="1" applyFont="1" applyFill="1" applyAlignment="1">
      <alignment horizontal="center"/>
    </xf>
    <xf numFmtId="174" fontId="21" fillId="2" borderId="0" xfId="0" applyNumberFormat="1" applyFont="1" applyFill="1" applyAlignment="1">
      <alignment horizontal="center"/>
    </xf>
    <xf numFmtId="170" fontId="21" fillId="3" borderId="13" xfId="0" applyNumberFormat="1" applyFont="1" applyFill="1" applyBorder="1" applyAlignment="1" applyProtection="1">
      <alignment horizontal="center"/>
      <protection locked="0"/>
    </xf>
    <xf numFmtId="170" fontId="21" fillId="3" borderId="14" xfId="0" applyNumberFormat="1" applyFont="1" applyFill="1" applyBorder="1" applyAlignment="1" applyProtection="1">
      <alignment horizontal="center"/>
      <protection locked="0"/>
    </xf>
    <xf numFmtId="170" fontId="21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7" fillId="2" borderId="2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50" xfId="0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21" fillId="3" borderId="13" xfId="0" applyNumberFormat="1" applyFont="1" applyFill="1" applyBorder="1" applyAlignment="1" applyProtection="1">
      <alignment horizontal="center" vertical="center"/>
      <protection locked="0"/>
    </xf>
    <xf numFmtId="2" fontId="21" fillId="3" borderId="14" xfId="0" applyNumberFormat="1" applyFont="1" applyFill="1" applyBorder="1" applyAlignment="1" applyProtection="1">
      <alignment horizontal="center" vertical="center"/>
      <protection locked="0"/>
    </xf>
    <xf numFmtId="2" fontId="21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21" fillId="3" borderId="0" xfId="0" applyFont="1" applyFill="1" applyAlignment="1" applyProtection="1">
      <alignment horizontal="left" wrapText="1"/>
      <protection locked="0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 vertical="center"/>
    </xf>
    <xf numFmtId="0" fontId="23" fillId="3" borderId="0" xfId="0" applyFont="1" applyFill="1" applyAlignment="1" applyProtection="1">
      <alignment horizontal="left" wrapText="1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21" fillId="3" borderId="0" xfId="0" applyFont="1" applyFill="1" applyAlignment="1" applyProtection="1">
      <alignment horizontal="left"/>
      <protection locked="0"/>
    </xf>
    <xf numFmtId="10" fontId="13" fillId="2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B39" sqref="B39:B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144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10.49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B20/25*5/10</f>
        <v>0.20980000000000004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2148167</v>
      </c>
      <c r="C24" s="18">
        <v>10325.5</v>
      </c>
      <c r="D24" s="19">
        <v>1.4</v>
      </c>
      <c r="E24" s="20">
        <v>5.4</v>
      </c>
    </row>
    <row r="25" spans="1:6" ht="16.5" customHeight="1" x14ac:dyDescent="0.3">
      <c r="A25" s="17">
        <v>2</v>
      </c>
      <c r="B25" s="18">
        <v>2154994</v>
      </c>
      <c r="C25" s="18">
        <v>10252.799999999999</v>
      </c>
      <c r="D25" s="19">
        <v>1.4</v>
      </c>
      <c r="E25" s="19">
        <v>5.4</v>
      </c>
    </row>
    <row r="26" spans="1:6" ht="16.5" customHeight="1" x14ac:dyDescent="0.3">
      <c r="A26" s="17">
        <v>3</v>
      </c>
      <c r="B26" s="18">
        <v>2154466</v>
      </c>
      <c r="C26" s="18">
        <v>10278.6</v>
      </c>
      <c r="D26" s="19">
        <v>1.4</v>
      </c>
      <c r="E26" s="19">
        <v>5.4</v>
      </c>
    </row>
    <row r="27" spans="1:6" ht="16.5" customHeight="1" x14ac:dyDescent="0.3">
      <c r="A27" s="17">
        <v>4</v>
      </c>
      <c r="B27" s="18">
        <v>2155645</v>
      </c>
      <c r="C27" s="18">
        <v>10260.1</v>
      </c>
      <c r="D27" s="19">
        <v>1.4</v>
      </c>
      <c r="E27" s="19">
        <v>5.4</v>
      </c>
    </row>
    <row r="28" spans="1:6" ht="16.5" customHeight="1" x14ac:dyDescent="0.3">
      <c r="A28" s="17">
        <v>5</v>
      </c>
      <c r="B28" s="18">
        <v>2154401</v>
      </c>
      <c r="C28" s="18">
        <v>10326.1</v>
      </c>
      <c r="D28" s="19">
        <v>1.4</v>
      </c>
      <c r="E28" s="19">
        <v>5.4</v>
      </c>
    </row>
    <row r="29" spans="1:6" ht="16.5" customHeight="1" x14ac:dyDescent="0.3">
      <c r="A29" s="17">
        <v>6</v>
      </c>
      <c r="B29" s="21">
        <v>2150981</v>
      </c>
      <c r="C29" s="21">
        <v>10313.4</v>
      </c>
      <c r="D29" s="22">
        <v>1.4</v>
      </c>
      <c r="E29" s="22">
        <v>5.4</v>
      </c>
    </row>
    <row r="30" spans="1:6" ht="16.5" customHeight="1" x14ac:dyDescent="0.3">
      <c r="A30" s="23" t="s">
        <v>18</v>
      </c>
      <c r="B30" s="24">
        <f>AVERAGE(B24:B29)</f>
        <v>2153109</v>
      </c>
      <c r="C30" s="25">
        <f>AVERAGE(C24:C29)</f>
        <v>10292.75</v>
      </c>
      <c r="D30" s="26">
        <f>AVERAGE(D24:D29)</f>
        <v>1.4000000000000001</v>
      </c>
      <c r="E30" s="26" t="s">
        <v>145</v>
      </c>
    </row>
    <row r="31" spans="1:6" ht="16.5" customHeight="1" x14ac:dyDescent="0.3">
      <c r="A31" s="27" t="s">
        <v>19</v>
      </c>
      <c r="B31" s="28">
        <f>(STDEV(B24:B29)/B30)</f>
        <v>1.3532324083610249E-3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146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144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10.47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B41/50*5/50</f>
        <v>2.094E-2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1638083</v>
      </c>
      <c r="C45" s="18">
        <v>9503.6</v>
      </c>
      <c r="D45" s="19">
        <v>1.1000000000000001</v>
      </c>
      <c r="E45" s="20">
        <v>4.5999999999999996</v>
      </c>
    </row>
    <row r="46" spans="1:6" ht="16.5" customHeight="1" x14ac:dyDescent="0.3">
      <c r="A46" s="17">
        <v>2</v>
      </c>
      <c r="B46" s="18">
        <v>1631816</v>
      </c>
      <c r="C46" s="18">
        <v>9556.9</v>
      </c>
      <c r="D46" s="19">
        <v>1.1000000000000001</v>
      </c>
      <c r="E46" s="19">
        <v>4.5999999999999996</v>
      </c>
    </row>
    <row r="47" spans="1:6" ht="16.5" customHeight="1" x14ac:dyDescent="0.3">
      <c r="A47" s="17">
        <v>3</v>
      </c>
      <c r="B47" s="18">
        <v>1628818</v>
      </c>
      <c r="C47" s="18">
        <v>9554.1</v>
      </c>
      <c r="D47" s="19">
        <v>1.1000000000000001</v>
      </c>
      <c r="E47" s="19">
        <v>4.5999999999999996</v>
      </c>
    </row>
    <row r="48" spans="1:6" ht="16.5" customHeight="1" x14ac:dyDescent="0.3">
      <c r="A48" s="17">
        <v>4</v>
      </c>
      <c r="B48" s="18">
        <v>1633815</v>
      </c>
      <c r="C48" s="18">
        <v>9553.5</v>
      </c>
      <c r="D48" s="19">
        <v>1.1000000000000001</v>
      </c>
      <c r="E48" s="19">
        <v>4.5999999999999996</v>
      </c>
    </row>
    <row r="49" spans="1:7" ht="16.5" customHeight="1" x14ac:dyDescent="0.3">
      <c r="A49" s="17">
        <v>5</v>
      </c>
      <c r="B49" s="18">
        <v>1629776</v>
      </c>
      <c r="C49" s="18">
        <v>9564.5</v>
      </c>
      <c r="D49" s="19">
        <v>1.1000000000000001</v>
      </c>
      <c r="E49" s="19">
        <v>4.5999999999999996</v>
      </c>
    </row>
    <row r="50" spans="1:7" ht="16.5" customHeight="1" x14ac:dyDescent="0.3">
      <c r="A50" s="17">
        <v>6</v>
      </c>
      <c r="B50" s="21">
        <v>1632225</v>
      </c>
      <c r="C50" s="21">
        <v>9557.7999999999993</v>
      </c>
      <c r="D50" s="22">
        <v>1.1000000000000001</v>
      </c>
      <c r="E50" s="22">
        <v>4.5999999999999996</v>
      </c>
    </row>
    <row r="51" spans="1:7" ht="16.5" customHeight="1" x14ac:dyDescent="0.3">
      <c r="A51" s="23" t="s">
        <v>18</v>
      </c>
      <c r="B51" s="24">
        <f>AVERAGE(B45:B50)</f>
        <v>1632422.1666666667</v>
      </c>
      <c r="C51" s="25">
        <f>AVERAGE(C45:C50)</f>
        <v>9548.4</v>
      </c>
      <c r="D51" s="26">
        <f>AVERAGE(D45:D50)</f>
        <v>1.0999999999999999</v>
      </c>
      <c r="E51" s="26">
        <f>AVERAGE(E45:E50)</f>
        <v>4.6000000000000005</v>
      </c>
    </row>
    <row r="52" spans="1:7" ht="16.5" customHeight="1" x14ac:dyDescent="0.3">
      <c r="A52" s="27" t="s">
        <v>19</v>
      </c>
      <c r="B52" s="28">
        <f>(STDEV(B45:B50)/B51)</f>
        <v>2.0203019293863764E-3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7" t="s">
        <v>26</v>
      </c>
      <c r="C59" s="46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51" sqref="C5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1" t="s">
        <v>31</v>
      </c>
      <c r="B11" s="472"/>
      <c r="C11" s="472"/>
      <c r="D11" s="472"/>
      <c r="E11" s="472"/>
      <c r="F11" s="473"/>
      <c r="G11" s="91"/>
    </row>
    <row r="12" spans="1:7" ht="16.5" customHeight="1" x14ac:dyDescent="0.3">
      <c r="A12" s="470" t="s">
        <v>32</v>
      </c>
      <c r="B12" s="470"/>
      <c r="C12" s="470"/>
      <c r="D12" s="470"/>
      <c r="E12" s="470"/>
      <c r="F12" s="470"/>
      <c r="G12" s="90"/>
    </row>
    <row r="14" spans="1:7" ht="16.5" customHeight="1" x14ac:dyDescent="0.3">
      <c r="A14" s="475" t="s">
        <v>33</v>
      </c>
      <c r="B14" s="475"/>
      <c r="C14" s="60" t="s">
        <v>5</v>
      </c>
    </row>
    <row r="15" spans="1:7" ht="16.5" customHeight="1" x14ac:dyDescent="0.3">
      <c r="A15" s="475" t="s">
        <v>34</v>
      </c>
      <c r="B15" s="475"/>
      <c r="C15" s="60" t="s">
        <v>7</v>
      </c>
    </row>
    <row r="16" spans="1:7" ht="16.5" customHeight="1" x14ac:dyDescent="0.3">
      <c r="A16" s="475" t="s">
        <v>35</v>
      </c>
      <c r="B16" s="475"/>
      <c r="C16" s="60" t="s">
        <v>9</v>
      </c>
    </row>
    <row r="17" spans="1:5" ht="16.5" customHeight="1" x14ac:dyDescent="0.3">
      <c r="A17" s="475" t="s">
        <v>36</v>
      </c>
      <c r="B17" s="475"/>
      <c r="C17" s="60" t="s">
        <v>11</v>
      </c>
    </row>
    <row r="18" spans="1:5" ht="16.5" customHeight="1" x14ac:dyDescent="0.3">
      <c r="A18" s="475" t="s">
        <v>37</v>
      </c>
      <c r="B18" s="475"/>
      <c r="C18" s="97" t="s">
        <v>12</v>
      </c>
    </row>
    <row r="19" spans="1:5" ht="16.5" customHeight="1" x14ac:dyDescent="0.3">
      <c r="A19" s="475" t="s">
        <v>38</v>
      </c>
      <c r="B19" s="47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0" t="s">
        <v>1</v>
      </c>
      <c r="B21" s="470"/>
      <c r="C21" s="59" t="s">
        <v>39</v>
      </c>
      <c r="D21" s="66"/>
    </row>
    <row r="22" spans="1:5" ht="15.75" customHeight="1" x14ac:dyDescent="0.3">
      <c r="A22" s="474"/>
      <c r="B22" s="474"/>
      <c r="C22" s="57"/>
      <c r="D22" s="474"/>
      <c r="E22" s="47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285.23</v>
      </c>
      <c r="D24" s="87">
        <f t="shared" ref="D24:D43" si="0">(C24-$C$46)/$C$46</f>
        <v>-3.620751991588221E-3</v>
      </c>
      <c r="E24" s="53"/>
    </row>
    <row r="25" spans="1:5" ht="15.75" customHeight="1" x14ac:dyDescent="0.3">
      <c r="C25" s="95">
        <v>287.12</v>
      </c>
      <c r="D25" s="88">
        <f t="shared" si="0"/>
        <v>2.981487529976427E-3</v>
      </c>
      <c r="E25" s="53"/>
    </row>
    <row r="26" spans="1:5" ht="15.75" customHeight="1" x14ac:dyDescent="0.3">
      <c r="C26" s="95">
        <v>285.13</v>
      </c>
      <c r="D26" s="88">
        <f t="shared" si="0"/>
        <v>-3.9700768339991314E-3</v>
      </c>
      <c r="E26" s="53"/>
    </row>
    <row r="27" spans="1:5" ht="15.75" customHeight="1" x14ac:dyDescent="0.3">
      <c r="C27" s="95">
        <v>285.23</v>
      </c>
      <c r="D27" s="88">
        <f t="shared" si="0"/>
        <v>-3.620751991588221E-3</v>
      </c>
      <c r="E27" s="53"/>
    </row>
    <row r="28" spans="1:5" ht="15.75" customHeight="1" x14ac:dyDescent="0.3">
      <c r="C28" s="95">
        <v>287.55</v>
      </c>
      <c r="D28" s="88">
        <f t="shared" si="0"/>
        <v>4.4835843523430216E-3</v>
      </c>
      <c r="E28" s="53"/>
    </row>
    <row r="29" spans="1:5" ht="15.75" customHeight="1" x14ac:dyDescent="0.3">
      <c r="C29" s="95">
        <v>286.07</v>
      </c>
      <c r="D29" s="88">
        <f t="shared" si="0"/>
        <v>-6.8642331533733266E-4</v>
      </c>
      <c r="E29" s="53"/>
    </row>
    <row r="30" spans="1:5" ht="15.75" customHeight="1" x14ac:dyDescent="0.3">
      <c r="C30" s="95">
        <v>285.31</v>
      </c>
      <c r="D30" s="88">
        <f t="shared" si="0"/>
        <v>-3.3412921176596126E-3</v>
      </c>
      <c r="E30" s="53"/>
    </row>
    <row r="31" spans="1:5" ht="15.75" customHeight="1" x14ac:dyDescent="0.3">
      <c r="C31" s="95">
        <v>286.23</v>
      </c>
      <c r="D31" s="88">
        <f t="shared" si="0"/>
        <v>-1.2750356747991658E-4</v>
      </c>
      <c r="E31" s="53"/>
    </row>
    <row r="32" spans="1:5" ht="15.75" customHeight="1" x14ac:dyDescent="0.3">
      <c r="C32" s="95">
        <v>285.05</v>
      </c>
      <c r="D32" s="88">
        <f t="shared" si="0"/>
        <v>-4.2495367079277398E-3</v>
      </c>
      <c r="E32" s="53"/>
    </row>
    <row r="33" spans="1:7" ht="15.75" customHeight="1" x14ac:dyDescent="0.3">
      <c r="C33" s="95">
        <v>287.27999999999997</v>
      </c>
      <c r="D33" s="88">
        <f t="shared" si="0"/>
        <v>3.5404072778336443E-3</v>
      </c>
      <c r="E33" s="53"/>
    </row>
    <row r="34" spans="1:7" ht="15.75" customHeight="1" x14ac:dyDescent="0.3">
      <c r="C34" s="95">
        <v>286.47000000000003</v>
      </c>
      <c r="D34" s="88">
        <f t="shared" si="0"/>
        <v>7.1087605430610826E-4</v>
      </c>
      <c r="E34" s="53"/>
    </row>
    <row r="35" spans="1:7" ht="15.75" customHeight="1" x14ac:dyDescent="0.3">
      <c r="C35" s="95">
        <v>292.25</v>
      </c>
      <c r="D35" s="88">
        <f t="shared" si="0"/>
        <v>2.0901851945652014E-2</v>
      </c>
      <c r="E35" s="53"/>
    </row>
    <row r="36" spans="1:7" ht="15.75" customHeight="1" x14ac:dyDescent="0.3">
      <c r="C36" s="95">
        <v>285.99</v>
      </c>
      <c r="D36" s="88">
        <f t="shared" si="0"/>
        <v>-9.6588318926594142E-4</v>
      </c>
      <c r="E36" s="53"/>
    </row>
    <row r="37" spans="1:7" ht="15.75" customHeight="1" x14ac:dyDescent="0.3">
      <c r="C37" s="95">
        <v>286.64</v>
      </c>
      <c r="D37" s="88">
        <f t="shared" si="0"/>
        <v>1.304728286404377E-3</v>
      </c>
      <c r="E37" s="53"/>
    </row>
    <row r="38" spans="1:7" ht="15.75" customHeight="1" x14ac:dyDescent="0.3">
      <c r="C38" s="95">
        <v>285.51</v>
      </c>
      <c r="D38" s="88">
        <f t="shared" si="0"/>
        <v>-2.6426424328379913E-3</v>
      </c>
      <c r="E38" s="53"/>
    </row>
    <row r="39" spans="1:7" ht="15.75" customHeight="1" x14ac:dyDescent="0.3">
      <c r="C39" s="95">
        <v>284.93</v>
      </c>
      <c r="D39" s="88">
        <f t="shared" si="0"/>
        <v>-4.6687265188207526E-3</v>
      </c>
      <c r="E39" s="53"/>
    </row>
    <row r="40" spans="1:7" ht="15.75" customHeight="1" x14ac:dyDescent="0.3">
      <c r="C40" s="95">
        <v>287.12</v>
      </c>
      <c r="D40" s="88">
        <f t="shared" si="0"/>
        <v>2.981487529976427E-3</v>
      </c>
      <c r="E40" s="53"/>
    </row>
    <row r="41" spans="1:7" ht="15.75" customHeight="1" x14ac:dyDescent="0.3">
      <c r="C41" s="95">
        <v>286.43</v>
      </c>
      <c r="D41" s="88">
        <f t="shared" si="0"/>
        <v>5.7114611734170463E-4</v>
      </c>
      <c r="E41" s="53"/>
    </row>
    <row r="42" spans="1:7" ht="15.75" customHeight="1" x14ac:dyDescent="0.3">
      <c r="C42" s="95">
        <v>285</v>
      </c>
      <c r="D42" s="88">
        <f t="shared" si="0"/>
        <v>-4.4241991291331948E-3</v>
      </c>
      <c r="E42" s="53"/>
    </row>
    <row r="43" spans="1:7" ht="16.5" customHeight="1" x14ac:dyDescent="0.3">
      <c r="C43" s="96">
        <v>284.79000000000002</v>
      </c>
      <c r="D43" s="89">
        <f t="shared" si="0"/>
        <v>-5.1577812981958675E-3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5725.33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286.26650000000001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8">
        <f>C46</f>
        <v>286.26650000000001</v>
      </c>
      <c r="C49" s="93">
        <f>-IF(C46&lt;=80,10%,IF(C46&lt;250,7.5%,5%))</f>
        <v>-0.05</v>
      </c>
      <c r="D49" s="81">
        <f>IF(C46&lt;=80,C46*0.9,IF(C46&lt;250,C46*0.925,C46*0.95))</f>
        <v>271.95317499999999</v>
      </c>
    </row>
    <row r="50" spans="1:6" ht="17.25" customHeight="1" x14ac:dyDescent="0.3">
      <c r="B50" s="469"/>
      <c r="C50" s="94">
        <f>IF(C46&lt;=80, 10%, IF(C46&lt;250, 7.5%, 5%))</f>
        <v>0.05</v>
      </c>
      <c r="D50" s="81">
        <f>IF(C46&lt;=80, C46*1.1, IF(C46&lt;250, C46*1.075, C46*1.05))</f>
        <v>300.57982500000003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D110" zoomScale="50" zoomScaleNormal="50" zoomScaleSheetLayoutView="75" workbookViewId="0">
      <selection activeCell="F71" sqref="F7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76" t="s">
        <v>45</v>
      </c>
      <c r="B1" s="476"/>
      <c r="C1" s="476"/>
      <c r="D1" s="476"/>
      <c r="E1" s="476"/>
      <c r="F1" s="476"/>
      <c r="G1" s="476"/>
      <c r="H1" s="476"/>
    </row>
    <row r="2" spans="1:8" x14ac:dyDescent="0.25">
      <c r="A2" s="476"/>
      <c r="B2" s="476"/>
      <c r="C2" s="476"/>
      <c r="D2" s="476"/>
      <c r="E2" s="476"/>
      <c r="F2" s="476"/>
      <c r="G2" s="476"/>
      <c r="H2" s="476"/>
    </row>
    <row r="3" spans="1:8" x14ac:dyDescent="0.25">
      <c r="A3" s="476"/>
      <c r="B3" s="476"/>
      <c r="C3" s="476"/>
      <c r="D3" s="476"/>
      <c r="E3" s="476"/>
      <c r="F3" s="476"/>
      <c r="G3" s="476"/>
      <c r="H3" s="476"/>
    </row>
    <row r="4" spans="1:8" x14ac:dyDescent="0.25">
      <c r="A4" s="476"/>
      <c r="B4" s="476"/>
      <c r="C4" s="476"/>
      <c r="D4" s="476"/>
      <c r="E4" s="476"/>
      <c r="F4" s="476"/>
      <c r="G4" s="476"/>
      <c r="H4" s="476"/>
    </row>
    <row r="5" spans="1:8" x14ac:dyDescent="0.25">
      <c r="A5" s="476"/>
      <c r="B5" s="476"/>
      <c r="C5" s="476"/>
      <c r="D5" s="476"/>
      <c r="E5" s="476"/>
      <c r="F5" s="476"/>
      <c r="G5" s="476"/>
      <c r="H5" s="476"/>
    </row>
    <row r="6" spans="1:8" x14ac:dyDescent="0.25">
      <c r="A6" s="476"/>
      <c r="B6" s="476"/>
      <c r="C6" s="476"/>
      <c r="D6" s="476"/>
      <c r="E6" s="476"/>
      <c r="F6" s="476"/>
      <c r="G6" s="476"/>
      <c r="H6" s="476"/>
    </row>
    <row r="7" spans="1:8" x14ac:dyDescent="0.25">
      <c r="A7" s="476"/>
      <c r="B7" s="476"/>
      <c r="C7" s="476"/>
      <c r="D7" s="476"/>
      <c r="E7" s="476"/>
      <c r="F7" s="476"/>
      <c r="G7" s="476"/>
      <c r="H7" s="476"/>
    </row>
    <row r="8" spans="1:8" x14ac:dyDescent="0.25">
      <c r="A8" s="477" t="s">
        <v>46</v>
      </c>
      <c r="B8" s="477"/>
      <c r="C8" s="477"/>
      <c r="D8" s="477"/>
      <c r="E8" s="477"/>
      <c r="F8" s="477"/>
      <c r="G8" s="477"/>
      <c r="H8" s="477"/>
    </row>
    <row r="9" spans="1:8" x14ac:dyDescent="0.25">
      <c r="A9" s="477"/>
      <c r="B9" s="477"/>
      <c r="C9" s="477"/>
      <c r="D9" s="477"/>
      <c r="E9" s="477"/>
      <c r="F9" s="477"/>
      <c r="G9" s="477"/>
      <c r="H9" s="477"/>
    </row>
    <row r="10" spans="1:8" x14ac:dyDescent="0.25">
      <c r="A10" s="477"/>
      <c r="B10" s="477"/>
      <c r="C10" s="477"/>
      <c r="D10" s="477"/>
      <c r="E10" s="477"/>
      <c r="F10" s="477"/>
      <c r="G10" s="477"/>
      <c r="H10" s="477"/>
    </row>
    <row r="11" spans="1:8" x14ac:dyDescent="0.25">
      <c r="A11" s="477"/>
      <c r="B11" s="477"/>
      <c r="C11" s="477"/>
      <c r="D11" s="477"/>
      <c r="E11" s="477"/>
      <c r="F11" s="477"/>
      <c r="G11" s="477"/>
      <c r="H11" s="477"/>
    </row>
    <row r="12" spans="1:8" x14ac:dyDescent="0.25">
      <c r="A12" s="477"/>
      <c r="B12" s="477"/>
      <c r="C12" s="477"/>
      <c r="D12" s="477"/>
      <c r="E12" s="477"/>
      <c r="F12" s="477"/>
      <c r="G12" s="477"/>
      <c r="H12" s="477"/>
    </row>
    <row r="13" spans="1:8" x14ac:dyDescent="0.25">
      <c r="A13" s="477"/>
      <c r="B13" s="477"/>
      <c r="C13" s="477"/>
      <c r="D13" s="477"/>
      <c r="E13" s="477"/>
      <c r="F13" s="477"/>
      <c r="G13" s="477"/>
      <c r="H13" s="477"/>
    </row>
    <row r="14" spans="1:8" x14ac:dyDescent="0.25">
      <c r="A14" s="477"/>
      <c r="B14" s="477"/>
      <c r="C14" s="477"/>
      <c r="D14" s="477"/>
      <c r="E14" s="477"/>
      <c r="F14" s="477"/>
      <c r="G14" s="477"/>
      <c r="H14" s="477"/>
    </row>
    <row r="15" spans="1:8" ht="19.5" customHeight="1" x14ac:dyDescent="0.25"/>
    <row r="16" spans="1:8" ht="19.5" customHeight="1" x14ac:dyDescent="0.25">
      <c r="A16" s="478" t="s">
        <v>31</v>
      </c>
      <c r="B16" s="479"/>
      <c r="C16" s="479"/>
      <c r="D16" s="479"/>
      <c r="E16" s="479"/>
      <c r="F16" s="479"/>
      <c r="G16" s="479"/>
      <c r="H16" s="480"/>
    </row>
    <row r="17" spans="1:14" ht="18.75" x14ac:dyDescent="0.3">
      <c r="A17" s="98" t="s">
        <v>47</v>
      </c>
      <c r="B17" s="98"/>
    </row>
    <row r="18" spans="1:14" ht="18.75" x14ac:dyDescent="0.3">
      <c r="A18" s="100" t="s">
        <v>33</v>
      </c>
      <c r="B18" s="484" t="s">
        <v>147</v>
      </c>
      <c r="C18" s="484"/>
      <c r="D18" s="193"/>
      <c r="E18" s="193"/>
    </row>
    <row r="19" spans="1:14" ht="18.75" x14ac:dyDescent="0.3">
      <c r="A19" s="100" t="s">
        <v>34</v>
      </c>
      <c r="B19" s="194" t="s">
        <v>148</v>
      </c>
      <c r="C19" s="99">
        <v>24</v>
      </c>
    </row>
    <row r="20" spans="1:14" ht="18.75" x14ac:dyDescent="0.3">
      <c r="A20" s="100" t="s">
        <v>35</v>
      </c>
      <c r="B20" s="194" t="s">
        <v>9</v>
      </c>
    </row>
    <row r="21" spans="1:14" ht="18.75" x14ac:dyDescent="0.3">
      <c r="A21" s="100" t="s">
        <v>36</v>
      </c>
      <c r="B21" s="219" t="s">
        <v>11</v>
      </c>
      <c r="C21" s="219"/>
      <c r="D21" s="219"/>
      <c r="E21" s="219"/>
      <c r="F21" s="219"/>
      <c r="G21" s="219"/>
      <c r="H21" s="219"/>
      <c r="I21" s="219"/>
    </row>
    <row r="22" spans="1:14" ht="18.75" x14ac:dyDescent="0.3">
      <c r="A22" s="100" t="s">
        <v>37</v>
      </c>
      <c r="B22" s="195" t="s">
        <v>12</v>
      </c>
    </row>
    <row r="23" spans="1:14" ht="18.75" x14ac:dyDescent="0.3">
      <c r="A23" s="100" t="s">
        <v>38</v>
      </c>
      <c r="B23" s="195"/>
    </row>
    <row r="24" spans="1:14" ht="18.75" x14ac:dyDescent="0.3">
      <c r="A24" s="100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277" t="s">
        <v>142</v>
      </c>
      <c r="C26" s="276"/>
    </row>
    <row r="27" spans="1:14" ht="26.25" customHeight="1" x14ac:dyDescent="0.4">
      <c r="A27" s="107" t="s">
        <v>48</v>
      </c>
      <c r="B27" s="252" t="s">
        <v>150</v>
      </c>
    </row>
    <row r="28" spans="1:14" ht="27" customHeight="1" x14ac:dyDescent="0.4">
      <c r="A28" s="107" t="s">
        <v>6</v>
      </c>
      <c r="B28" s="253">
        <v>99.8</v>
      </c>
    </row>
    <row r="29" spans="1:14" s="11" customFormat="1" ht="27" customHeight="1" x14ac:dyDescent="0.4">
      <c r="A29" s="107" t="s">
        <v>49</v>
      </c>
      <c r="B29" s="252">
        <v>0</v>
      </c>
      <c r="C29" s="491" t="s">
        <v>50</v>
      </c>
      <c r="D29" s="492"/>
      <c r="E29" s="492"/>
      <c r="F29" s="492"/>
      <c r="G29" s="493"/>
      <c r="I29" s="109"/>
      <c r="J29" s="109"/>
      <c r="K29" s="109"/>
      <c r="L29" s="109"/>
    </row>
    <row r="30" spans="1:14" s="11" customFormat="1" ht="19.5" customHeight="1" x14ac:dyDescent="0.3">
      <c r="A30" s="107" t="s">
        <v>51</v>
      </c>
      <c r="B30" s="106">
        <f>B28-B29</f>
        <v>99.8</v>
      </c>
      <c r="C30" s="110"/>
      <c r="D30" s="110"/>
      <c r="E30" s="110"/>
      <c r="F30" s="110"/>
      <c r="G30" s="111"/>
      <c r="I30" s="109"/>
      <c r="J30" s="109"/>
      <c r="K30" s="109"/>
      <c r="L30" s="109"/>
    </row>
    <row r="31" spans="1:14" s="11" customFormat="1" ht="27" customHeight="1" x14ac:dyDescent="0.4">
      <c r="A31" s="107" t="s">
        <v>52</v>
      </c>
      <c r="B31" s="254">
        <v>1</v>
      </c>
      <c r="C31" s="481" t="s">
        <v>53</v>
      </c>
      <c r="D31" s="482"/>
      <c r="E31" s="482"/>
      <c r="F31" s="482"/>
      <c r="G31" s="482"/>
      <c r="H31" s="483"/>
      <c r="I31" s="109"/>
      <c r="J31" s="109"/>
      <c r="K31" s="109"/>
      <c r="L31" s="109"/>
    </row>
    <row r="32" spans="1:14" s="11" customFormat="1" ht="27" customHeight="1" x14ac:dyDescent="0.4">
      <c r="A32" s="107" t="s">
        <v>54</v>
      </c>
      <c r="B32" s="254">
        <v>1</v>
      </c>
      <c r="C32" s="481" t="s">
        <v>55</v>
      </c>
      <c r="D32" s="482"/>
      <c r="E32" s="482"/>
      <c r="F32" s="482"/>
      <c r="G32" s="482"/>
      <c r="H32" s="483"/>
      <c r="I32" s="109"/>
      <c r="J32" s="109"/>
      <c r="K32" s="109"/>
      <c r="L32" s="113"/>
      <c r="M32" s="113"/>
      <c r="N32" s="114"/>
    </row>
    <row r="33" spans="1:14" s="11" customFormat="1" ht="17.25" customHeight="1" x14ac:dyDescent="0.3">
      <c r="A33" s="107"/>
      <c r="B33" s="112"/>
      <c r="C33" s="115"/>
      <c r="D33" s="115"/>
      <c r="E33" s="115"/>
      <c r="F33" s="115"/>
      <c r="G33" s="115"/>
      <c r="H33" s="115"/>
      <c r="I33" s="109"/>
      <c r="J33" s="109"/>
      <c r="K33" s="109"/>
      <c r="L33" s="113"/>
      <c r="M33" s="113"/>
      <c r="N33" s="114"/>
    </row>
    <row r="34" spans="1:14" s="11" customFormat="1" ht="18.75" x14ac:dyDescent="0.3">
      <c r="A34" s="107" t="s">
        <v>56</v>
      </c>
      <c r="B34" s="116">
        <f>B31/B32</f>
        <v>1</v>
      </c>
      <c r="C34" s="99" t="s">
        <v>57</v>
      </c>
      <c r="D34" s="99"/>
      <c r="E34" s="99"/>
      <c r="F34" s="99"/>
      <c r="G34" s="99"/>
      <c r="I34" s="109"/>
      <c r="J34" s="109"/>
      <c r="K34" s="109"/>
      <c r="L34" s="113"/>
      <c r="M34" s="113"/>
      <c r="N34" s="114"/>
    </row>
    <row r="35" spans="1:14" s="11" customFormat="1" ht="19.5" customHeight="1" x14ac:dyDescent="0.3">
      <c r="A35" s="107"/>
      <c r="B35" s="106"/>
      <c r="G35" s="99"/>
      <c r="I35" s="109"/>
      <c r="J35" s="109"/>
      <c r="K35" s="109"/>
      <c r="L35" s="113"/>
      <c r="M35" s="113"/>
      <c r="N35" s="114"/>
    </row>
    <row r="36" spans="1:14" s="11" customFormat="1" ht="27" customHeight="1" x14ac:dyDescent="0.4">
      <c r="A36" s="117" t="s">
        <v>58</v>
      </c>
      <c r="B36" s="255">
        <v>100</v>
      </c>
      <c r="C36" s="99"/>
      <c r="D36" s="499" t="s">
        <v>59</v>
      </c>
      <c r="E36" s="508"/>
      <c r="F36" s="499" t="s">
        <v>60</v>
      </c>
      <c r="G36" s="500"/>
      <c r="J36" s="109"/>
      <c r="K36" s="109"/>
      <c r="L36" s="113"/>
      <c r="M36" s="113"/>
      <c r="N36" s="114"/>
    </row>
    <row r="37" spans="1:14" s="11" customFormat="1" ht="15.75" customHeight="1" x14ac:dyDescent="0.4">
      <c r="A37" s="118" t="s">
        <v>61</v>
      </c>
      <c r="B37" s="256">
        <v>1</v>
      </c>
      <c r="C37" s="120" t="s">
        <v>62</v>
      </c>
      <c r="D37" s="121" t="s">
        <v>63</v>
      </c>
      <c r="E37" s="180" t="s">
        <v>64</v>
      </c>
      <c r="F37" s="121" t="s">
        <v>63</v>
      </c>
      <c r="G37" s="122" t="s">
        <v>64</v>
      </c>
      <c r="J37" s="109"/>
      <c r="K37" s="109"/>
      <c r="L37" s="113"/>
      <c r="M37" s="113"/>
      <c r="N37" s="114"/>
    </row>
    <row r="38" spans="1:14" s="11" customFormat="1" ht="26.25" customHeight="1" x14ac:dyDescent="0.4">
      <c r="A38" s="118" t="s">
        <v>65</v>
      </c>
      <c r="B38" s="256">
        <v>1</v>
      </c>
      <c r="C38" s="123">
        <v>1</v>
      </c>
      <c r="D38" s="257">
        <v>2445795</v>
      </c>
      <c r="E38" s="196">
        <f>IF(ISBLANK(D38),"-",$D$48/$D$45*D38)</f>
        <v>2246284.5030115223</v>
      </c>
      <c r="F38" s="257">
        <v>2363403</v>
      </c>
      <c r="G38" s="199">
        <f>IF(ISBLANK(F38),"-",$D$48/$F$45*F38)</f>
        <v>2247877.8154315273</v>
      </c>
      <c r="J38" s="109"/>
      <c r="K38" s="109"/>
      <c r="L38" s="113"/>
      <c r="M38" s="113"/>
      <c r="N38" s="114"/>
    </row>
    <row r="39" spans="1:14" s="11" customFormat="1" ht="26.25" customHeight="1" x14ac:dyDescent="0.4">
      <c r="A39" s="118" t="s">
        <v>66</v>
      </c>
      <c r="B39" s="256">
        <v>1</v>
      </c>
      <c r="C39" s="119">
        <v>2</v>
      </c>
      <c r="D39" s="258">
        <v>2453895</v>
      </c>
      <c r="E39" s="197">
        <f>IF(ISBLANK(D39),"-",$D$48/$D$45*D39)</f>
        <v>2253723.7628327231</v>
      </c>
      <c r="F39" s="258">
        <v>2367855</v>
      </c>
      <c r="G39" s="200">
        <f>IF(ISBLANK(F39),"-",$D$48/$F$45*F39)</f>
        <v>2252112.1978175617</v>
      </c>
      <c r="J39" s="109"/>
      <c r="K39" s="109"/>
      <c r="L39" s="113"/>
      <c r="M39" s="113"/>
      <c r="N39" s="114"/>
    </row>
    <row r="40" spans="1:14" ht="26.25" customHeight="1" x14ac:dyDescent="0.4">
      <c r="A40" s="118" t="s">
        <v>67</v>
      </c>
      <c r="B40" s="256">
        <v>1</v>
      </c>
      <c r="C40" s="119">
        <v>3</v>
      </c>
      <c r="D40" s="258">
        <v>2446125</v>
      </c>
      <c r="E40" s="197">
        <f>IF(ISBLANK(D40),"-",$D$48/$D$45*D40)</f>
        <v>2246587.5839672009</v>
      </c>
      <c r="F40" s="258">
        <v>2364427</v>
      </c>
      <c r="G40" s="200">
        <f>IF(ISBLANK(F40),"-",$D$48/$F$45*F40)</f>
        <v>2248851.7614250807</v>
      </c>
      <c r="L40" s="113"/>
      <c r="M40" s="113"/>
      <c r="N40" s="125"/>
    </row>
    <row r="41" spans="1:14" ht="26.25" customHeight="1" x14ac:dyDescent="0.4">
      <c r="A41" s="118" t="s">
        <v>68</v>
      </c>
      <c r="B41" s="256">
        <v>1</v>
      </c>
      <c r="C41" s="126">
        <v>4</v>
      </c>
      <c r="D41" s="259">
        <v>2434205</v>
      </c>
      <c r="E41" s="198">
        <f>IF(ISBLANK(D41),"-",$D$48/$D$45*D41)</f>
        <v>2235639.9324772367</v>
      </c>
      <c r="F41" s="259">
        <v>2353511</v>
      </c>
      <c r="G41" s="201">
        <f>IF(ISBLANK(F41),"-",$D$48/$F$45*F41)</f>
        <v>2238469.3449547407</v>
      </c>
      <c r="L41" s="113"/>
      <c r="M41" s="113"/>
      <c r="N41" s="125"/>
    </row>
    <row r="42" spans="1:14" ht="27" customHeight="1" x14ac:dyDescent="0.4">
      <c r="A42" s="118" t="s">
        <v>69</v>
      </c>
      <c r="B42" s="256">
        <v>1</v>
      </c>
      <c r="C42" s="128" t="s">
        <v>70</v>
      </c>
      <c r="D42" s="230">
        <f>AVERAGE(D38:D41)</f>
        <v>2445005</v>
      </c>
      <c r="E42" s="153">
        <f>AVERAGE(E38:E41)</f>
        <v>2245558.9455721704</v>
      </c>
      <c r="F42" s="129">
        <f>AVERAGE(F38:F41)</f>
        <v>2362299</v>
      </c>
      <c r="G42" s="130">
        <f>AVERAGE(G38:G41)</f>
        <v>2246827.7799072275</v>
      </c>
      <c r="H42" s="216"/>
    </row>
    <row r="43" spans="1:14" ht="26.25" customHeight="1" x14ac:dyDescent="0.4">
      <c r="A43" s="118" t="s">
        <v>71</v>
      </c>
      <c r="B43" s="253">
        <v>1</v>
      </c>
      <c r="C43" s="231" t="s">
        <v>72</v>
      </c>
      <c r="D43" s="260">
        <v>21.82</v>
      </c>
      <c r="E43" s="125"/>
      <c r="F43" s="261">
        <v>21.07</v>
      </c>
      <c r="H43" s="216"/>
    </row>
    <row r="44" spans="1:14" ht="26.25" customHeight="1" x14ac:dyDescent="0.4">
      <c r="A44" s="118" t="s">
        <v>73</v>
      </c>
      <c r="B44" s="253">
        <v>1</v>
      </c>
      <c r="C44" s="232" t="s">
        <v>74</v>
      </c>
      <c r="D44" s="233">
        <f>D43*$B$34</f>
        <v>21.82</v>
      </c>
      <c r="E44" s="132"/>
      <c r="F44" s="131">
        <f>F43*$B$34</f>
        <v>21.07</v>
      </c>
      <c r="H44" s="216"/>
    </row>
    <row r="45" spans="1:14" ht="19.5" customHeight="1" x14ac:dyDescent="0.3">
      <c r="A45" s="118" t="s">
        <v>75</v>
      </c>
      <c r="B45" s="229">
        <f>(B44/B43)*(B42/B41)*(B40/B39)*(B38/B37)*B36</f>
        <v>100</v>
      </c>
      <c r="C45" s="232" t="s">
        <v>76</v>
      </c>
      <c r="D45" s="234">
        <f>D44*$B$30/100</f>
        <v>21.77636</v>
      </c>
      <c r="E45" s="134"/>
      <c r="F45" s="133">
        <f>F44*$B$30/100</f>
        <v>21.02786</v>
      </c>
      <c r="H45" s="216"/>
    </row>
    <row r="46" spans="1:14" ht="19.5" customHeight="1" x14ac:dyDescent="0.3">
      <c r="A46" s="485" t="s">
        <v>77</v>
      </c>
      <c r="B46" s="486"/>
      <c r="C46" s="232" t="s">
        <v>78</v>
      </c>
      <c r="D46" s="233">
        <f>D45/$B$45</f>
        <v>0.2177636</v>
      </c>
      <c r="E46" s="134"/>
      <c r="F46" s="135">
        <f>F45/$B$45</f>
        <v>0.21027860000000001</v>
      </c>
      <c r="H46" s="216"/>
    </row>
    <row r="47" spans="1:14" ht="27" customHeight="1" x14ac:dyDescent="0.4">
      <c r="A47" s="487"/>
      <c r="B47" s="488"/>
      <c r="C47" s="232" t="s">
        <v>79</v>
      </c>
      <c r="D47" s="262">
        <v>0.2</v>
      </c>
      <c r="F47" s="137"/>
      <c r="H47" s="216"/>
    </row>
    <row r="48" spans="1:14" ht="18.75" x14ac:dyDescent="0.3">
      <c r="C48" s="232" t="s">
        <v>80</v>
      </c>
      <c r="D48" s="233">
        <f>D47*$B$45</f>
        <v>20</v>
      </c>
      <c r="F48" s="137"/>
      <c r="H48" s="216"/>
    </row>
    <row r="49" spans="1:12" ht="19.5" customHeight="1" x14ac:dyDescent="0.3">
      <c r="C49" s="235" t="s">
        <v>81</v>
      </c>
      <c r="D49" s="236">
        <f>D48/B34</f>
        <v>20</v>
      </c>
      <c r="F49" s="140"/>
      <c r="H49" s="216"/>
    </row>
    <row r="50" spans="1:12" ht="18.75" x14ac:dyDescent="0.3">
      <c r="C50" s="237" t="s">
        <v>82</v>
      </c>
      <c r="D50" s="238">
        <f>AVERAGE(E38:E41,G38:G41)</f>
        <v>2246193.362739699</v>
      </c>
      <c r="F50" s="140"/>
      <c r="H50" s="216"/>
    </row>
    <row r="51" spans="1:12" ht="18.75" x14ac:dyDescent="0.3">
      <c r="C51" s="136" t="s">
        <v>83</v>
      </c>
      <c r="D51" s="141">
        <f>STDEV(E38:E41,G38:G41)/D50</f>
        <v>2.7794591369649192E-3</v>
      </c>
      <c r="F51" s="140"/>
    </row>
    <row r="52" spans="1:12" ht="19.5" customHeight="1" x14ac:dyDescent="0.3">
      <c r="C52" s="138" t="s">
        <v>20</v>
      </c>
      <c r="D52" s="142">
        <f>COUNT(E38:E41,G38:G41)</f>
        <v>8</v>
      </c>
      <c r="F52" s="140"/>
    </row>
    <row r="54" spans="1:12" ht="18.75" x14ac:dyDescent="0.3">
      <c r="A54" s="98" t="s">
        <v>1</v>
      </c>
      <c r="B54" s="143" t="s">
        <v>84</v>
      </c>
    </row>
    <row r="55" spans="1:12" ht="18.75" x14ac:dyDescent="0.3">
      <c r="A55" s="99" t="s">
        <v>85</v>
      </c>
      <c r="B55" s="102" t="str">
        <f>B21</f>
        <v>Each contains artemer 20 mg and lumefantrine 120 mg</v>
      </c>
    </row>
    <row r="56" spans="1:12" ht="26.25" customHeight="1" x14ac:dyDescent="0.4">
      <c r="A56" s="101" t="s">
        <v>86</v>
      </c>
      <c r="B56" s="252">
        <v>20</v>
      </c>
      <c r="C56" s="99" t="str">
        <f>B20</f>
        <v>Artemether 20mg, Lumefantrine 120mg</v>
      </c>
      <c r="H56" s="108"/>
    </row>
    <row r="57" spans="1:12" ht="18.75" x14ac:dyDescent="0.3">
      <c r="A57" s="102" t="s">
        <v>87</v>
      </c>
      <c r="B57" s="251">
        <f>lumefantrine!B57</f>
        <v>211.815</v>
      </c>
      <c r="H57" s="108"/>
    </row>
    <row r="58" spans="1:12" ht="19.5" customHeight="1" x14ac:dyDescent="0.3">
      <c r="H58" s="108"/>
    </row>
    <row r="59" spans="1:12" s="11" customFormat="1" ht="27" customHeight="1" x14ac:dyDescent="0.4">
      <c r="A59" s="117" t="s">
        <v>88</v>
      </c>
      <c r="B59" s="255">
        <v>50</v>
      </c>
      <c r="C59" s="99"/>
      <c r="D59" s="145" t="s">
        <v>89</v>
      </c>
      <c r="E59" s="144" t="s">
        <v>90</v>
      </c>
      <c r="F59" s="144" t="s">
        <v>63</v>
      </c>
      <c r="G59" s="144" t="s">
        <v>91</v>
      </c>
      <c r="H59" s="120" t="s">
        <v>92</v>
      </c>
      <c r="L59" s="109"/>
    </row>
    <row r="60" spans="1:12" s="11" customFormat="1" ht="22.5" customHeight="1" x14ac:dyDescent="0.4">
      <c r="A60" s="118" t="s">
        <v>93</v>
      </c>
      <c r="B60" s="256">
        <v>1</v>
      </c>
      <c r="C60" s="501" t="s">
        <v>94</v>
      </c>
      <c r="D60" s="505">
        <v>93.01</v>
      </c>
      <c r="E60" s="146">
        <v>1</v>
      </c>
      <c r="F60" s="263">
        <v>1912739</v>
      </c>
      <c r="G60" s="184">
        <f>IF(ISBLANK(F60),"-",(F60/$D$50*$D$47*$B$68)*($B$57/$D$60))</f>
        <v>19.392582207282867</v>
      </c>
      <c r="H60" s="186">
        <f t="shared" ref="H60:H71" si="0">IF(ISBLANK(F60),"-",G60/$B$56)</f>
        <v>0.96962911036414334</v>
      </c>
      <c r="L60" s="109"/>
    </row>
    <row r="61" spans="1:12" s="11" customFormat="1" ht="26.25" customHeight="1" x14ac:dyDescent="0.4">
      <c r="A61" s="118" t="s">
        <v>95</v>
      </c>
      <c r="B61" s="256">
        <v>1</v>
      </c>
      <c r="C61" s="502"/>
      <c r="D61" s="506"/>
      <c r="E61" s="147">
        <v>2</v>
      </c>
      <c r="F61" s="258">
        <v>1929709</v>
      </c>
      <c r="G61" s="185">
        <f>IF(ISBLANK(F61),"-",(F61/$D$50*$D$47*$B$68)*($B$57/$D$60))</f>
        <v>19.564635017445461</v>
      </c>
      <c r="H61" s="187">
        <f t="shared" si="0"/>
        <v>0.9782317508722731</v>
      </c>
      <c r="L61" s="109"/>
    </row>
    <row r="62" spans="1:12" s="11" customFormat="1" ht="26.25" customHeight="1" x14ac:dyDescent="0.4">
      <c r="A62" s="118" t="s">
        <v>96</v>
      </c>
      <c r="B62" s="256">
        <v>1</v>
      </c>
      <c r="C62" s="502"/>
      <c r="D62" s="506"/>
      <c r="E62" s="147">
        <v>3</v>
      </c>
      <c r="F62" s="258">
        <v>1934028</v>
      </c>
      <c r="G62" s="185">
        <f>IF(ISBLANK(F62),"-",(F62/$D$50*$D$47*$B$68)*($B$57/$D$60))</f>
        <v>19.608423826348954</v>
      </c>
      <c r="H62" s="187">
        <f t="shared" si="0"/>
        <v>0.98042119131744765</v>
      </c>
      <c r="L62" s="109"/>
    </row>
    <row r="63" spans="1:12" ht="21" customHeight="1" x14ac:dyDescent="0.4">
      <c r="A63" s="118" t="s">
        <v>97</v>
      </c>
      <c r="B63" s="256">
        <v>1</v>
      </c>
      <c r="C63" s="504"/>
      <c r="D63" s="507"/>
      <c r="E63" s="148">
        <v>4</v>
      </c>
      <c r="F63" s="264"/>
      <c r="G63" s="185" t="str">
        <f>IF(ISBLANK(F63),"-",(F63/$D$50*$D$47*$B$68)*($B$57/$D$60))</f>
        <v>-</v>
      </c>
      <c r="H63" s="187" t="str">
        <f t="shared" si="0"/>
        <v>-</v>
      </c>
    </row>
    <row r="64" spans="1:12" ht="26.25" customHeight="1" x14ac:dyDescent="0.4">
      <c r="A64" s="118" t="s">
        <v>98</v>
      </c>
      <c r="B64" s="256">
        <v>1</v>
      </c>
      <c r="C64" s="501" t="s">
        <v>99</v>
      </c>
      <c r="D64" s="505">
        <v>95.03</v>
      </c>
      <c r="E64" s="146">
        <v>1</v>
      </c>
      <c r="F64" s="263">
        <v>1963050</v>
      </c>
      <c r="G64" s="212">
        <f>IF(ISBLANK(F64),"-",(F64/$D$50*$D$47*$B$68)*($B$57/$D$64))</f>
        <v>19.479607623663419</v>
      </c>
      <c r="H64" s="209">
        <f t="shared" si="0"/>
        <v>0.97398038118317098</v>
      </c>
    </row>
    <row r="65" spans="1:8" ht="26.25" customHeight="1" x14ac:dyDescent="0.4">
      <c r="A65" s="118" t="s">
        <v>100</v>
      </c>
      <c r="B65" s="256">
        <v>1</v>
      </c>
      <c r="C65" s="502"/>
      <c r="D65" s="506"/>
      <c r="E65" s="147">
        <v>2</v>
      </c>
      <c r="F65" s="258">
        <v>1954705</v>
      </c>
      <c r="G65" s="213">
        <f>IF(ISBLANK(F65),"-",(F65/$D$50*$D$47*$B$68)*($B$57/$D$64))</f>
        <v>19.396799072877922</v>
      </c>
      <c r="H65" s="210">
        <f t="shared" si="0"/>
        <v>0.96983995364389608</v>
      </c>
    </row>
    <row r="66" spans="1:8" ht="26.25" customHeight="1" x14ac:dyDescent="0.4">
      <c r="A66" s="118" t="s">
        <v>101</v>
      </c>
      <c r="B66" s="256">
        <v>1</v>
      </c>
      <c r="C66" s="502"/>
      <c r="D66" s="506"/>
      <c r="E66" s="147">
        <v>3</v>
      </c>
      <c r="F66" s="258">
        <v>1976426</v>
      </c>
      <c r="G66" s="213">
        <f>IF(ISBLANK(F66),"-",(F66/$D$50*$D$47*$B$68)*($B$57/$D$64))</f>
        <v>19.612339460129188</v>
      </c>
      <c r="H66" s="210">
        <f t="shared" si="0"/>
        <v>0.98061697300645945</v>
      </c>
    </row>
    <row r="67" spans="1:8" ht="21" customHeight="1" x14ac:dyDescent="0.4">
      <c r="A67" s="118" t="s">
        <v>102</v>
      </c>
      <c r="B67" s="256">
        <v>1</v>
      </c>
      <c r="C67" s="504"/>
      <c r="D67" s="507"/>
      <c r="E67" s="148">
        <v>4</v>
      </c>
      <c r="F67" s="264"/>
      <c r="G67" s="214" t="str">
        <f>IF(ISBLANK(F67),"-",(F67/$D$50*$D$47*$B$68)*($B$57/$D$64))</f>
        <v>-</v>
      </c>
      <c r="H67" s="211" t="str">
        <f t="shared" si="0"/>
        <v>-</v>
      </c>
    </row>
    <row r="68" spans="1:8" ht="21.75" customHeight="1" x14ac:dyDescent="0.4">
      <c r="A68" s="118" t="s">
        <v>103</v>
      </c>
      <c r="B68" s="221">
        <f>(B67/B66)*(B65/B64)*(B63/B62)*(B61/B60)*B59</f>
        <v>50</v>
      </c>
      <c r="C68" s="501" t="s">
        <v>104</v>
      </c>
      <c r="D68" s="505">
        <v>100.03</v>
      </c>
      <c r="E68" s="146">
        <v>1</v>
      </c>
      <c r="F68" s="263">
        <v>2002236</v>
      </c>
      <c r="G68" s="212">
        <f>IF(ISBLANK(F68),"-",(F68/$D$50*$D$47*$B$68)*($B$57/$D$68))</f>
        <v>18.875330701505103</v>
      </c>
      <c r="H68" s="187">
        <f t="shared" si="0"/>
        <v>0.9437665350752551</v>
      </c>
    </row>
    <row r="69" spans="1:8" ht="21.75" customHeight="1" x14ac:dyDescent="0.4">
      <c r="A69" s="239" t="s">
        <v>105</v>
      </c>
      <c r="B69" s="240">
        <f>D47*B68/B56*B57</f>
        <v>105.9075</v>
      </c>
      <c r="C69" s="502"/>
      <c r="D69" s="506"/>
      <c r="E69" s="147">
        <v>2</v>
      </c>
      <c r="F69" s="258">
        <v>2010646</v>
      </c>
      <c r="G69" s="213">
        <f>IF(ISBLANK(F69),"-",(F69/$D$50*$D$47*$B$68)*($B$57/$D$68))</f>
        <v>18.95461282968563</v>
      </c>
      <c r="H69" s="187">
        <f t="shared" si="0"/>
        <v>0.94773064148428143</v>
      </c>
    </row>
    <row r="70" spans="1:8" ht="22.5" customHeight="1" x14ac:dyDescent="0.4">
      <c r="A70" s="494" t="s">
        <v>77</v>
      </c>
      <c r="B70" s="495"/>
      <c r="C70" s="502"/>
      <c r="D70" s="506"/>
      <c r="E70" s="147">
        <v>3</v>
      </c>
      <c r="F70" s="258">
        <v>2007042</v>
      </c>
      <c r="G70" s="213">
        <f>IF(ISBLANK(F70),"-",(F70/$D$50*$D$47*$B$68)*($B$57/$D$68))</f>
        <v>18.920637468215642</v>
      </c>
      <c r="H70" s="187">
        <f t="shared" si="0"/>
        <v>0.9460318734107821</v>
      </c>
    </row>
    <row r="71" spans="1:8" ht="21.75" customHeight="1" x14ac:dyDescent="0.4">
      <c r="A71" s="496"/>
      <c r="B71" s="497"/>
      <c r="C71" s="503"/>
      <c r="D71" s="507"/>
      <c r="E71" s="148">
        <v>4</v>
      </c>
      <c r="F71" s="264"/>
      <c r="G71" s="214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0"/>
      <c r="G72" s="139" t="s">
        <v>70</v>
      </c>
      <c r="H72" s="265">
        <f>AVERAGE(H60:H71)</f>
        <v>0.96558315670641215</v>
      </c>
    </row>
    <row r="73" spans="1:8" ht="26.25" customHeight="1" x14ac:dyDescent="0.4">
      <c r="C73" s="149"/>
      <c r="D73" s="149"/>
      <c r="E73" s="149"/>
      <c r="F73" s="150"/>
      <c r="G73" s="136" t="s">
        <v>83</v>
      </c>
      <c r="H73" s="266">
        <f>STDEV(H60:H71)/H72</f>
        <v>1.5910293575522781E-2</v>
      </c>
    </row>
    <row r="74" spans="1:8" ht="27" customHeight="1" x14ac:dyDescent="0.4">
      <c r="A74" s="149"/>
      <c r="B74" s="149"/>
      <c r="C74" s="150"/>
      <c r="D74" s="150"/>
      <c r="E74" s="151"/>
      <c r="F74" s="150"/>
      <c r="G74" s="138" t="s">
        <v>20</v>
      </c>
      <c r="H74" s="267">
        <f>COUNT(H60:H71)</f>
        <v>9</v>
      </c>
    </row>
    <row r="75" spans="1:8" ht="18.75" x14ac:dyDescent="0.3">
      <c r="A75" s="149"/>
      <c r="B75" s="149"/>
      <c r="C75" s="150"/>
      <c r="D75" s="150"/>
      <c r="E75" s="151"/>
      <c r="F75" s="150"/>
      <c r="G75" s="172"/>
      <c r="H75" s="228"/>
    </row>
    <row r="76" spans="1:8" ht="18.75" x14ac:dyDescent="0.3">
      <c r="A76" s="105" t="s">
        <v>106</v>
      </c>
      <c r="B76" s="246" t="s">
        <v>107</v>
      </c>
      <c r="C76" s="498" t="str">
        <f>B20</f>
        <v>Artemether 20mg, Lumefantrine 120mg</v>
      </c>
      <c r="D76" s="498"/>
      <c r="E76" s="248" t="s">
        <v>108</v>
      </c>
      <c r="F76" s="248"/>
      <c r="G76" s="249">
        <f>H72</f>
        <v>0.96558315670641215</v>
      </c>
      <c r="H76" s="228"/>
    </row>
    <row r="77" spans="1:8" ht="18.75" x14ac:dyDescent="0.3">
      <c r="A77" s="149"/>
      <c r="B77" s="149"/>
      <c r="C77" s="150"/>
      <c r="D77" s="150"/>
      <c r="E77" s="151"/>
      <c r="F77" s="150"/>
      <c r="G77" s="172"/>
      <c r="H77" s="228"/>
    </row>
    <row r="78" spans="1:8" ht="26.25" customHeight="1" x14ac:dyDescent="0.4">
      <c r="A78" s="104" t="s">
        <v>109</v>
      </c>
      <c r="B78" s="104" t="s">
        <v>110</v>
      </c>
      <c r="D78" s="268" t="s">
        <v>111</v>
      </c>
    </row>
    <row r="79" spans="1:8" ht="18.75" x14ac:dyDescent="0.3">
      <c r="A79" s="104"/>
      <c r="B79" s="104"/>
    </row>
    <row r="80" spans="1:8" ht="26.25" customHeight="1" x14ac:dyDescent="0.4">
      <c r="A80" s="105" t="s">
        <v>4</v>
      </c>
      <c r="B80" s="252" t="str">
        <f>B26</f>
        <v>Artemether</v>
      </c>
      <c r="C80" s="276"/>
    </row>
    <row r="81" spans="1:12" ht="26.25" customHeight="1" x14ac:dyDescent="0.4">
      <c r="A81" s="107" t="s">
        <v>48</v>
      </c>
      <c r="B81" s="252" t="str">
        <f>B27</f>
        <v>F0J018</v>
      </c>
    </row>
    <row r="82" spans="1:12" ht="27" customHeight="1" x14ac:dyDescent="0.4">
      <c r="A82" s="107" t="s">
        <v>6</v>
      </c>
      <c r="B82" s="252">
        <f>B28</f>
        <v>99.8</v>
      </c>
    </row>
    <row r="83" spans="1:12" s="11" customFormat="1" ht="27" customHeight="1" x14ac:dyDescent="0.4">
      <c r="A83" s="107" t="s">
        <v>49</v>
      </c>
      <c r="B83" s="252">
        <f>B29</f>
        <v>0</v>
      </c>
      <c r="C83" s="491" t="s">
        <v>50</v>
      </c>
      <c r="D83" s="492"/>
      <c r="E83" s="492"/>
      <c r="F83" s="492"/>
      <c r="G83" s="493"/>
      <c r="I83" s="109"/>
      <c r="J83" s="109"/>
      <c r="K83" s="109"/>
      <c r="L83" s="109"/>
    </row>
    <row r="84" spans="1:12" s="11" customFormat="1" ht="18.75" x14ac:dyDescent="0.3">
      <c r="A84" s="107" t="s">
        <v>51</v>
      </c>
      <c r="B84" s="106">
        <f>B82-B83</f>
        <v>99.8</v>
      </c>
      <c r="C84" s="110"/>
      <c r="D84" s="110"/>
      <c r="E84" s="110"/>
      <c r="F84" s="110"/>
      <c r="G84" s="111"/>
      <c r="I84" s="109"/>
      <c r="J84" s="109"/>
      <c r="K84" s="109"/>
      <c r="L84" s="109"/>
    </row>
    <row r="85" spans="1:12" s="11" customFormat="1" ht="19.5" customHeight="1" x14ac:dyDescent="0.3">
      <c r="A85" s="107"/>
      <c r="B85" s="106"/>
      <c r="C85" s="110"/>
      <c r="D85" s="110"/>
      <c r="E85" s="110"/>
      <c r="F85" s="110"/>
      <c r="G85" s="111"/>
      <c r="I85" s="109"/>
      <c r="J85" s="109"/>
      <c r="K85" s="109"/>
      <c r="L85" s="109"/>
    </row>
    <row r="86" spans="1:12" s="11" customFormat="1" ht="27" customHeight="1" x14ac:dyDescent="0.4">
      <c r="A86" s="107" t="s">
        <v>52</v>
      </c>
      <c r="B86" s="254">
        <v>1</v>
      </c>
      <c r="C86" s="481" t="s">
        <v>53</v>
      </c>
      <c r="D86" s="482"/>
      <c r="E86" s="482"/>
      <c r="F86" s="482"/>
      <c r="G86" s="482"/>
      <c r="H86" s="483"/>
      <c r="I86" s="109"/>
      <c r="J86" s="109"/>
      <c r="K86" s="109"/>
      <c r="L86" s="109"/>
    </row>
    <row r="87" spans="1:12" s="11" customFormat="1" ht="27" customHeight="1" x14ac:dyDescent="0.4">
      <c r="A87" s="107" t="s">
        <v>54</v>
      </c>
      <c r="B87" s="254">
        <v>1</v>
      </c>
      <c r="C87" s="481" t="s">
        <v>55</v>
      </c>
      <c r="D87" s="482"/>
      <c r="E87" s="482"/>
      <c r="F87" s="482"/>
      <c r="G87" s="482"/>
      <c r="H87" s="483"/>
      <c r="I87" s="109"/>
      <c r="J87" s="109"/>
      <c r="K87" s="109"/>
      <c r="L87" s="109"/>
    </row>
    <row r="88" spans="1:12" s="11" customFormat="1" ht="18.75" x14ac:dyDescent="0.3">
      <c r="A88" s="107"/>
      <c r="B88" s="106"/>
      <c r="C88" s="110"/>
      <c r="D88" s="110"/>
      <c r="E88" s="110"/>
      <c r="F88" s="110"/>
      <c r="G88" s="111"/>
      <c r="I88" s="109"/>
      <c r="J88" s="109"/>
      <c r="K88" s="109"/>
      <c r="L88" s="109"/>
    </row>
    <row r="89" spans="1:12" ht="18.75" x14ac:dyDescent="0.3">
      <c r="A89" s="107" t="s">
        <v>56</v>
      </c>
      <c r="B89" s="116">
        <f>B86/B87</f>
        <v>1</v>
      </c>
      <c r="C89" s="99" t="s">
        <v>57</v>
      </c>
    </row>
    <row r="90" spans="1:12" ht="19.5" customHeight="1" x14ac:dyDescent="0.3">
      <c r="A90" s="107"/>
      <c r="B90" s="116"/>
    </row>
    <row r="91" spans="1:12" ht="27" customHeight="1" x14ac:dyDescent="0.4">
      <c r="A91" s="117" t="s">
        <v>58</v>
      </c>
      <c r="B91" s="255">
        <v>50</v>
      </c>
      <c r="D91" s="182" t="s">
        <v>59</v>
      </c>
      <c r="E91" s="183"/>
      <c r="F91" s="499" t="s">
        <v>60</v>
      </c>
      <c r="G91" s="500"/>
    </row>
    <row r="92" spans="1:12" ht="26.25" customHeight="1" x14ac:dyDescent="0.4">
      <c r="A92" s="118" t="s">
        <v>61</v>
      </c>
      <c r="B92" s="256">
        <v>4</v>
      </c>
      <c r="C92" s="179" t="s">
        <v>62</v>
      </c>
      <c r="D92" s="121" t="s">
        <v>63</v>
      </c>
      <c r="E92" s="180" t="s">
        <v>64</v>
      </c>
      <c r="F92" s="121" t="s">
        <v>63</v>
      </c>
      <c r="G92" s="122" t="s">
        <v>64</v>
      </c>
    </row>
    <row r="93" spans="1:12" ht="26.25" customHeight="1" x14ac:dyDescent="0.4">
      <c r="A93" s="118" t="s">
        <v>65</v>
      </c>
      <c r="B93" s="256">
        <v>50</v>
      </c>
      <c r="C93" s="177">
        <v>1</v>
      </c>
      <c r="D93" s="257">
        <v>1642116</v>
      </c>
      <c r="E93" s="196">
        <f>IF(ISBLANK(D93),"-",$D$103/$D$100*D93)</f>
        <v>1964430.293251259</v>
      </c>
      <c r="F93" s="257">
        <v>1720799</v>
      </c>
      <c r="G93" s="199">
        <f>IF(ISBLANK(F93),"-",$D$103/$F$100*F93)</f>
        <v>1936486.4049752692</v>
      </c>
    </row>
    <row r="94" spans="1:12" ht="26.25" customHeight="1" x14ac:dyDescent="0.4">
      <c r="A94" s="118" t="s">
        <v>66</v>
      </c>
      <c r="B94" s="256">
        <v>1</v>
      </c>
      <c r="C94" s="150">
        <v>2</v>
      </c>
      <c r="D94" s="258">
        <v>1637939</v>
      </c>
      <c r="E94" s="197">
        <f>IF(ISBLANK(D94),"-",$D$103/$D$100*D94)</f>
        <v>1959433.4322896032</v>
      </c>
      <c r="F94" s="258">
        <v>1722204</v>
      </c>
      <c r="G94" s="200">
        <f>IF(ISBLANK(F94),"-",$D$103/$F$100*F94)</f>
        <v>1938067.5096824374</v>
      </c>
    </row>
    <row r="95" spans="1:12" ht="26.25" customHeight="1" x14ac:dyDescent="0.4">
      <c r="A95" s="118" t="s">
        <v>67</v>
      </c>
      <c r="B95" s="256">
        <v>1</v>
      </c>
      <c r="C95" s="150">
        <v>3</v>
      </c>
      <c r="D95" s="258">
        <v>1635281</v>
      </c>
      <c r="E95" s="197">
        <f>IF(ISBLANK(D95),"-",$D$103/$D$100*D95)</f>
        <v>1956253.7204303546</v>
      </c>
      <c r="F95" s="258">
        <v>1721752</v>
      </c>
      <c r="G95" s="200">
        <f>IF(ISBLANK(F95),"-",$D$103/$F$100*F95)</f>
        <v>1937558.8553567149</v>
      </c>
    </row>
    <row r="96" spans="1:12" ht="26.25" customHeight="1" x14ac:dyDescent="0.4">
      <c r="A96" s="118" t="s">
        <v>68</v>
      </c>
      <c r="B96" s="256">
        <v>1</v>
      </c>
      <c r="C96" s="181">
        <v>4</v>
      </c>
      <c r="D96" s="259"/>
      <c r="E96" s="198" t="str">
        <f>IF(ISBLANK(D96),"-",$D$103/$D$100*D96)</f>
        <v>-</v>
      </c>
      <c r="F96" s="269"/>
      <c r="G96" s="201" t="str">
        <f>IF(ISBLANK(F96),"-",$D$103/$F$100*F96)</f>
        <v>-</v>
      </c>
    </row>
    <row r="97" spans="1:10" ht="27" customHeight="1" x14ac:dyDescent="0.4">
      <c r="A97" s="118" t="s">
        <v>69</v>
      </c>
      <c r="B97" s="256">
        <v>1</v>
      </c>
      <c r="C97" s="172" t="s">
        <v>70</v>
      </c>
      <c r="D97" s="241">
        <f>AVERAGE(D93:D96)</f>
        <v>1638445.3333333333</v>
      </c>
      <c r="E97" s="153">
        <f>AVERAGE(E93:E96)</f>
        <v>1960039.1486570723</v>
      </c>
      <c r="F97" s="178">
        <f>AVERAGE(F93:F96)</f>
        <v>1721585</v>
      </c>
      <c r="G97" s="202">
        <f>AVERAGE(G93:G96)</f>
        <v>1937370.9233381404</v>
      </c>
    </row>
    <row r="98" spans="1:10" ht="26.25" customHeight="1" x14ac:dyDescent="0.4">
      <c r="A98" s="118" t="s">
        <v>71</v>
      </c>
      <c r="B98" s="253">
        <v>1</v>
      </c>
      <c r="C98" s="231" t="s">
        <v>72</v>
      </c>
      <c r="D98" s="260">
        <v>10.47</v>
      </c>
      <c r="E98" s="125"/>
      <c r="F98" s="261">
        <v>11.13</v>
      </c>
    </row>
    <row r="99" spans="1:10" ht="26.25" customHeight="1" x14ac:dyDescent="0.4">
      <c r="A99" s="118" t="s">
        <v>73</v>
      </c>
      <c r="B99" s="253">
        <v>1</v>
      </c>
      <c r="C99" s="232" t="s">
        <v>74</v>
      </c>
      <c r="D99" s="233">
        <f>D98*$B$89</f>
        <v>10.47</v>
      </c>
      <c r="E99" s="132"/>
      <c r="F99" s="131">
        <f>F98*$B$89</f>
        <v>11.13</v>
      </c>
    </row>
    <row r="100" spans="1:10" ht="19.5" customHeight="1" x14ac:dyDescent="0.3">
      <c r="A100" s="118" t="s">
        <v>75</v>
      </c>
      <c r="B100" s="229">
        <f>(B99/B98)*(B97/B96)*(B95/B94)*(B93/B92)*B91</f>
        <v>625</v>
      </c>
      <c r="C100" s="232" t="s">
        <v>76</v>
      </c>
      <c r="D100" s="234">
        <f>D99*$B$84/100</f>
        <v>10.449059999999999</v>
      </c>
      <c r="E100" s="134"/>
      <c r="F100" s="133">
        <f>F99*$B$84/100</f>
        <v>11.107740000000002</v>
      </c>
    </row>
    <row r="101" spans="1:10" ht="19.5" customHeight="1" x14ac:dyDescent="0.3">
      <c r="A101" s="485" t="s">
        <v>77</v>
      </c>
      <c r="B101" s="486"/>
      <c r="C101" s="232" t="s">
        <v>78</v>
      </c>
      <c r="D101" s="233">
        <f>D100/$B$100</f>
        <v>1.6718495999999999E-2</v>
      </c>
      <c r="E101" s="134"/>
      <c r="F101" s="135">
        <f>F100/$B$100</f>
        <v>1.7772384000000002E-2</v>
      </c>
      <c r="G101" s="215"/>
      <c r="H101" s="216"/>
    </row>
    <row r="102" spans="1:10" ht="19.5" customHeight="1" x14ac:dyDescent="0.3">
      <c r="A102" s="487"/>
      <c r="B102" s="488"/>
      <c r="C102" s="232" t="s">
        <v>79</v>
      </c>
      <c r="D102" s="242">
        <f>$B$56/$B$118</f>
        <v>0.02</v>
      </c>
      <c r="F102" s="137"/>
      <c r="G102" s="217"/>
      <c r="H102" s="216"/>
    </row>
    <row r="103" spans="1:10" ht="18.75" x14ac:dyDescent="0.3">
      <c r="C103" s="232" t="s">
        <v>80</v>
      </c>
      <c r="D103" s="233">
        <f>D102*$B$100</f>
        <v>12.5</v>
      </c>
      <c r="F103" s="137"/>
      <c r="G103" s="215"/>
      <c r="H103" s="216"/>
    </row>
    <row r="104" spans="1:10" ht="19.5" customHeight="1" x14ac:dyDescent="0.3">
      <c r="C104" s="235" t="s">
        <v>81</v>
      </c>
      <c r="D104" s="243">
        <f>D103/B34</f>
        <v>12.5</v>
      </c>
      <c r="F104" s="140"/>
      <c r="G104" s="215"/>
      <c r="H104" s="216"/>
      <c r="J104" s="154"/>
    </row>
    <row r="105" spans="1:10" ht="18.75" x14ac:dyDescent="0.3">
      <c r="C105" s="237" t="s">
        <v>82</v>
      </c>
      <c r="D105" s="238">
        <f>AVERAGE(E93:E96,G93:G96)</f>
        <v>1948705.0359976066</v>
      </c>
      <c r="F105" s="140"/>
      <c r="G105" s="218"/>
      <c r="H105" s="216"/>
      <c r="J105" s="156"/>
    </row>
    <row r="106" spans="1:10" ht="18.75" x14ac:dyDescent="0.3">
      <c r="C106" s="136" t="s">
        <v>83</v>
      </c>
      <c r="D106" s="155">
        <f>STDEV(E93:E96,G93:G96)/D105</f>
        <v>6.5155485309992163E-3</v>
      </c>
      <c r="F106" s="140"/>
      <c r="G106" s="215"/>
      <c r="H106" s="216"/>
      <c r="J106" s="156"/>
    </row>
    <row r="107" spans="1:10" ht="19.5" customHeight="1" x14ac:dyDescent="0.3">
      <c r="C107" s="138" t="s">
        <v>20</v>
      </c>
      <c r="D107" s="157">
        <f>COUNT(E93:E96,G93:G96)</f>
        <v>6</v>
      </c>
      <c r="F107" s="140"/>
      <c r="G107" s="215"/>
      <c r="H107" s="216"/>
      <c r="J107" s="156"/>
    </row>
    <row r="108" spans="1:10" ht="19.5" customHeight="1" x14ac:dyDescent="0.3">
      <c r="A108" s="98"/>
      <c r="B108" s="98"/>
      <c r="C108" s="98"/>
      <c r="D108" s="98"/>
      <c r="E108" s="98"/>
    </row>
    <row r="109" spans="1:10" ht="26.25" customHeight="1" x14ac:dyDescent="0.4">
      <c r="A109" s="117" t="s">
        <v>112</v>
      </c>
      <c r="B109" s="255">
        <v>1000</v>
      </c>
      <c r="C109" s="158" t="s">
        <v>113</v>
      </c>
      <c r="D109" s="159" t="s">
        <v>63</v>
      </c>
      <c r="E109" s="160" t="s">
        <v>114</v>
      </c>
      <c r="F109" s="161" t="s">
        <v>115</v>
      </c>
    </row>
    <row r="110" spans="1:10" ht="26.25" customHeight="1" x14ac:dyDescent="0.4">
      <c r="A110" s="118" t="s">
        <v>93</v>
      </c>
      <c r="B110" s="256">
        <v>1</v>
      </c>
      <c r="C110" s="124">
        <v>1</v>
      </c>
      <c r="D110" s="270">
        <v>1145921</v>
      </c>
      <c r="E110" s="162">
        <f t="shared" ref="E110:E115" si="1">IF(ISBLANK(D110),"-",D110/$D$105*$D$102*$B$118)</f>
        <v>11.760846088370323</v>
      </c>
      <c r="F110" s="163">
        <f t="shared" ref="F110:F115" si="2">IF(ISBLANK(D110), "-", E110/$B$56)</f>
        <v>0.58804230441851613</v>
      </c>
    </row>
    <row r="111" spans="1:10" ht="26.25" customHeight="1" x14ac:dyDescent="0.4">
      <c r="A111" s="118" t="s">
        <v>95</v>
      </c>
      <c r="B111" s="256">
        <v>1</v>
      </c>
      <c r="C111" s="124">
        <v>2</v>
      </c>
      <c r="D111" s="270">
        <v>1148665</v>
      </c>
      <c r="E111" s="164">
        <f t="shared" si="1"/>
        <v>11.789008380244272</v>
      </c>
      <c r="F111" s="189">
        <f t="shared" si="2"/>
        <v>0.58945041901221362</v>
      </c>
    </row>
    <row r="112" spans="1:10" ht="26.25" customHeight="1" x14ac:dyDescent="0.4">
      <c r="A112" s="118" t="s">
        <v>96</v>
      </c>
      <c r="B112" s="256">
        <v>1</v>
      </c>
      <c r="C112" s="124">
        <v>3</v>
      </c>
      <c r="D112" s="270">
        <v>1145446</v>
      </c>
      <c r="E112" s="164">
        <f t="shared" si="1"/>
        <v>11.75597105606707</v>
      </c>
      <c r="F112" s="189">
        <f t="shared" si="2"/>
        <v>0.58779855280335347</v>
      </c>
    </row>
    <row r="113" spans="1:10" ht="26.25" customHeight="1" x14ac:dyDescent="0.4">
      <c r="A113" s="118" t="s">
        <v>97</v>
      </c>
      <c r="B113" s="256">
        <v>1</v>
      </c>
      <c r="C113" s="124">
        <v>4</v>
      </c>
      <c r="D113" s="270">
        <v>1146712</v>
      </c>
      <c r="E113" s="164">
        <f t="shared" si="1"/>
        <v>11.768964300058476</v>
      </c>
      <c r="F113" s="189">
        <f t="shared" si="2"/>
        <v>0.58844821500292377</v>
      </c>
    </row>
    <row r="114" spans="1:10" ht="26.25" customHeight="1" x14ac:dyDescent="0.4">
      <c r="A114" s="118" t="s">
        <v>98</v>
      </c>
      <c r="B114" s="256">
        <v>1</v>
      </c>
      <c r="C114" s="124">
        <v>5</v>
      </c>
      <c r="D114" s="270">
        <v>1149829</v>
      </c>
      <c r="E114" s="164">
        <f t="shared" si="1"/>
        <v>11.800954775193716</v>
      </c>
      <c r="F114" s="189">
        <f t="shared" si="2"/>
        <v>0.59004773875968586</v>
      </c>
    </row>
    <row r="115" spans="1:10" ht="26.25" customHeight="1" x14ac:dyDescent="0.4">
      <c r="A115" s="118" t="s">
        <v>100</v>
      </c>
      <c r="B115" s="256">
        <v>1</v>
      </c>
      <c r="C115" s="127">
        <v>6</v>
      </c>
      <c r="D115" s="271">
        <v>1147453</v>
      </c>
      <c r="E115" s="165">
        <f t="shared" si="1"/>
        <v>11.776569350451553</v>
      </c>
      <c r="F115" s="190">
        <f t="shared" si="2"/>
        <v>0.58882846752257767</v>
      </c>
    </row>
    <row r="116" spans="1:10" ht="26.25" customHeight="1" x14ac:dyDescent="0.4">
      <c r="A116" s="118" t="s">
        <v>101</v>
      </c>
      <c r="B116" s="256">
        <v>1</v>
      </c>
      <c r="C116" s="124"/>
      <c r="D116" s="150"/>
      <c r="E116" s="152"/>
      <c r="F116" s="166"/>
    </row>
    <row r="117" spans="1:10" ht="26.25" customHeight="1" x14ac:dyDescent="0.4">
      <c r="A117" s="118" t="s">
        <v>102</v>
      </c>
      <c r="B117" s="256">
        <v>1</v>
      </c>
      <c r="C117" s="124"/>
      <c r="D117" s="167"/>
      <c r="E117" s="168" t="s">
        <v>70</v>
      </c>
      <c r="F117" s="169">
        <f>AVERAGE(F110:F115)</f>
        <v>0.58876928291987829</v>
      </c>
    </row>
    <row r="118" spans="1:10" ht="19.5" customHeight="1" x14ac:dyDescent="0.3">
      <c r="A118" s="118" t="s">
        <v>103</v>
      </c>
      <c r="B118" s="220">
        <f>(B117/B116)*(B115/B114)*(B113/B112)*(B111/B110)*B109</f>
        <v>1000</v>
      </c>
      <c r="C118" s="170"/>
      <c r="D118" s="171"/>
      <c r="E118" s="172" t="s">
        <v>83</v>
      </c>
      <c r="F118" s="173">
        <f>STDEV(F110:F115)/F117</f>
        <v>1.4562826071967999E-3</v>
      </c>
      <c r="I118" s="152"/>
    </row>
    <row r="119" spans="1:10" ht="19.5" customHeight="1" x14ac:dyDescent="0.3">
      <c r="A119" s="485" t="s">
        <v>77</v>
      </c>
      <c r="B119" s="489"/>
      <c r="C119" s="174"/>
      <c r="D119" s="175"/>
      <c r="E119" s="176" t="s">
        <v>20</v>
      </c>
      <c r="F119" s="157">
        <f>COUNT(F110:F115)</f>
        <v>6</v>
      </c>
      <c r="I119" s="152"/>
      <c r="J119" s="156"/>
    </row>
    <row r="120" spans="1:10" ht="19.5" customHeight="1" x14ac:dyDescent="0.3">
      <c r="A120" s="487"/>
      <c r="B120" s="490"/>
      <c r="C120" s="152"/>
      <c r="D120" s="152"/>
      <c r="E120" s="152"/>
      <c r="F120" s="150"/>
      <c r="G120" s="152"/>
      <c r="H120" s="152"/>
      <c r="I120" s="152"/>
    </row>
    <row r="121" spans="1:10" ht="18.75" x14ac:dyDescent="0.3">
      <c r="A121" s="115"/>
      <c r="B121" s="115"/>
      <c r="C121" s="152"/>
      <c r="D121" s="152"/>
      <c r="E121" s="152"/>
      <c r="F121" s="150"/>
      <c r="G121" s="152"/>
      <c r="H121" s="152"/>
      <c r="I121" s="152"/>
    </row>
    <row r="122" spans="1:10" ht="18.75" x14ac:dyDescent="0.3">
      <c r="A122" s="105" t="s">
        <v>106</v>
      </c>
      <c r="B122" s="246" t="s">
        <v>107</v>
      </c>
      <c r="C122" s="498" t="str">
        <f>B20</f>
        <v>Artemether 20mg, Lumefantrine 120mg</v>
      </c>
      <c r="D122" s="498"/>
      <c r="E122" s="248" t="s">
        <v>116</v>
      </c>
      <c r="F122" s="248"/>
      <c r="G122" s="249">
        <f>F117</f>
        <v>0.58876928291987829</v>
      </c>
      <c r="H122" s="152"/>
      <c r="I122" s="152"/>
    </row>
    <row r="123" spans="1:10" ht="18.75" x14ac:dyDescent="0.3">
      <c r="A123" s="115"/>
      <c r="B123" s="115"/>
      <c r="C123" s="152"/>
      <c r="D123" s="152"/>
      <c r="E123" s="152"/>
      <c r="F123" s="150"/>
      <c r="G123" s="152"/>
      <c r="H123" s="152"/>
      <c r="I123" s="152"/>
    </row>
    <row r="124" spans="1:10" ht="26.25" customHeight="1" x14ac:dyDescent="0.4">
      <c r="A124" s="104" t="s">
        <v>109</v>
      </c>
      <c r="B124" s="104" t="s">
        <v>110</v>
      </c>
      <c r="D124" s="268" t="s">
        <v>117</v>
      </c>
    </row>
    <row r="125" spans="1:10" ht="19.5" customHeight="1" x14ac:dyDescent="0.3">
      <c r="A125" s="98"/>
      <c r="B125" s="98"/>
      <c r="C125" s="98"/>
      <c r="D125" s="98"/>
      <c r="E125" s="98"/>
    </row>
    <row r="126" spans="1:10" ht="26.25" customHeight="1" x14ac:dyDescent="0.4">
      <c r="A126" s="117" t="s">
        <v>112</v>
      </c>
      <c r="B126" s="255">
        <v>1000</v>
      </c>
      <c r="C126" s="158" t="s">
        <v>113</v>
      </c>
      <c r="D126" s="159" t="s">
        <v>63</v>
      </c>
      <c r="E126" s="160" t="s">
        <v>114</v>
      </c>
      <c r="F126" s="161" t="s">
        <v>115</v>
      </c>
    </row>
    <row r="127" spans="1:10" ht="26.25" customHeight="1" x14ac:dyDescent="0.4">
      <c r="A127" s="118" t="s">
        <v>93</v>
      </c>
      <c r="B127" s="256">
        <v>1</v>
      </c>
      <c r="C127" s="124">
        <v>1</v>
      </c>
      <c r="D127" s="270">
        <v>1608015</v>
      </c>
      <c r="E127" s="225">
        <f t="shared" ref="E127:E132" si="3">IF(ISBLANK(D127),"-",D127/$D$105*$D$102*$B$135)</f>
        <v>16.503421198137399</v>
      </c>
      <c r="F127" s="222">
        <f t="shared" ref="F127:F132" si="4">IF(ISBLANK(D127), "-", E127/$B$56)</f>
        <v>0.82517105990687001</v>
      </c>
    </row>
    <row r="128" spans="1:10" ht="26.25" customHeight="1" x14ac:dyDescent="0.4">
      <c r="A128" s="118" t="s">
        <v>95</v>
      </c>
      <c r="B128" s="256">
        <v>1</v>
      </c>
      <c r="C128" s="124">
        <v>2</v>
      </c>
      <c r="D128" s="270">
        <v>1602205</v>
      </c>
      <c r="E128" s="226">
        <f t="shared" si="3"/>
        <v>16.443791855649188</v>
      </c>
      <c r="F128" s="223">
        <f t="shared" si="4"/>
        <v>0.8221895927824594</v>
      </c>
    </row>
    <row r="129" spans="1:10" ht="26.25" customHeight="1" x14ac:dyDescent="0.4">
      <c r="A129" s="118" t="s">
        <v>96</v>
      </c>
      <c r="B129" s="256">
        <v>1</v>
      </c>
      <c r="C129" s="124">
        <v>3</v>
      </c>
      <c r="D129" s="270">
        <v>1610058</v>
      </c>
      <c r="E129" s="226">
        <f t="shared" si="3"/>
        <v>16.524388968654335</v>
      </c>
      <c r="F129" s="223">
        <f t="shared" si="4"/>
        <v>0.82621944843271677</v>
      </c>
    </row>
    <row r="130" spans="1:10" ht="26.25" customHeight="1" x14ac:dyDescent="0.4">
      <c r="A130" s="118" t="s">
        <v>97</v>
      </c>
      <c r="B130" s="256">
        <v>1</v>
      </c>
      <c r="C130" s="124">
        <v>4</v>
      </c>
      <c r="D130" s="270">
        <v>1606192</v>
      </c>
      <c r="E130" s="226">
        <f t="shared" si="3"/>
        <v>16.484711337318807</v>
      </c>
      <c r="F130" s="223">
        <f t="shared" si="4"/>
        <v>0.82423556686594035</v>
      </c>
    </row>
    <row r="131" spans="1:10" ht="26.25" customHeight="1" x14ac:dyDescent="0.4">
      <c r="A131" s="118" t="s">
        <v>98</v>
      </c>
      <c r="B131" s="256">
        <v>1</v>
      </c>
      <c r="C131" s="124">
        <v>5</v>
      </c>
      <c r="D131" s="270">
        <v>1610258</v>
      </c>
      <c r="E131" s="226">
        <f t="shared" si="3"/>
        <v>16.526441613834653</v>
      </c>
      <c r="F131" s="223">
        <f t="shared" si="4"/>
        <v>0.82632208069173263</v>
      </c>
    </row>
    <row r="132" spans="1:10" ht="26.25" customHeight="1" x14ac:dyDescent="0.4">
      <c r="A132" s="118" t="s">
        <v>100</v>
      </c>
      <c r="B132" s="256">
        <v>1</v>
      </c>
      <c r="C132" s="127">
        <v>6</v>
      </c>
      <c r="D132" s="271">
        <v>1608838</v>
      </c>
      <c r="E132" s="227">
        <f t="shared" si="3"/>
        <v>16.511867833054403</v>
      </c>
      <c r="F132" s="224">
        <f t="shared" si="4"/>
        <v>0.82559339165272017</v>
      </c>
    </row>
    <row r="133" spans="1:10" ht="26.25" customHeight="1" x14ac:dyDescent="0.4">
      <c r="A133" s="118" t="s">
        <v>101</v>
      </c>
      <c r="B133" s="256">
        <v>1</v>
      </c>
      <c r="C133" s="124"/>
      <c r="D133" s="150"/>
      <c r="E133" s="152"/>
      <c r="F133" s="166"/>
    </row>
    <row r="134" spans="1:10" ht="26.25" customHeight="1" x14ac:dyDescent="0.4">
      <c r="A134" s="118" t="s">
        <v>102</v>
      </c>
      <c r="B134" s="256">
        <v>1</v>
      </c>
      <c r="C134" s="124"/>
      <c r="D134" s="167"/>
      <c r="E134" s="168" t="s">
        <v>70</v>
      </c>
      <c r="F134" s="272">
        <f>AVERAGE(F127:F132)</f>
        <v>0.82495519005540652</v>
      </c>
    </row>
    <row r="135" spans="1:10" ht="27" customHeight="1" x14ac:dyDescent="0.4">
      <c r="A135" s="118" t="s">
        <v>103</v>
      </c>
      <c r="B135" s="256">
        <f>(B134/B133)*(B132/B131)*(B130/B129)*(B128/B127)*B126</f>
        <v>1000</v>
      </c>
      <c r="C135" s="170"/>
      <c r="D135" s="171"/>
      <c r="E135" s="172" t="s">
        <v>83</v>
      </c>
      <c r="F135" s="273">
        <f>STDEV(F127:F132)/F134</f>
        <v>1.8847092815384757E-3</v>
      </c>
      <c r="I135" s="152"/>
    </row>
    <row r="136" spans="1:10" ht="27" customHeight="1" x14ac:dyDescent="0.4">
      <c r="A136" s="485" t="s">
        <v>77</v>
      </c>
      <c r="B136" s="489"/>
      <c r="C136" s="174"/>
      <c r="D136" s="175"/>
      <c r="E136" s="176" t="s">
        <v>20</v>
      </c>
      <c r="F136" s="274">
        <f>COUNT(F127:F132)</f>
        <v>6</v>
      </c>
      <c r="I136" s="152"/>
      <c r="J136" s="156"/>
    </row>
    <row r="137" spans="1:10" ht="19.5" customHeight="1" x14ac:dyDescent="0.3">
      <c r="A137" s="487"/>
      <c r="B137" s="490"/>
      <c r="C137" s="152"/>
      <c r="D137" s="152"/>
      <c r="E137" s="152"/>
      <c r="F137" s="150"/>
      <c r="G137" s="152"/>
      <c r="H137" s="152"/>
      <c r="I137" s="152"/>
    </row>
    <row r="138" spans="1:10" ht="18.75" x14ac:dyDescent="0.3">
      <c r="A138" s="115"/>
      <c r="B138" s="115"/>
      <c r="C138" s="152"/>
      <c r="D138" s="152"/>
      <c r="E138" s="152"/>
      <c r="F138" s="150"/>
      <c r="G138" s="152"/>
      <c r="H138" s="152"/>
      <c r="I138" s="152"/>
    </row>
    <row r="139" spans="1:10" ht="26.25" customHeight="1" x14ac:dyDescent="0.4">
      <c r="A139" s="105" t="s">
        <v>106</v>
      </c>
      <c r="B139" s="246" t="s">
        <v>107</v>
      </c>
      <c r="C139" s="498" t="str">
        <f>B20</f>
        <v>Artemether 20mg, Lumefantrine 120mg</v>
      </c>
      <c r="D139" s="498"/>
      <c r="E139" s="248" t="s">
        <v>116</v>
      </c>
      <c r="F139" s="248"/>
      <c r="G139" s="275">
        <f>F134</f>
        <v>0.82495519005540652</v>
      </c>
      <c r="H139" s="152"/>
      <c r="I139" s="152"/>
    </row>
    <row r="140" spans="1:10" ht="18.75" x14ac:dyDescent="0.3">
      <c r="A140" s="105"/>
      <c r="B140" s="246"/>
      <c r="C140" s="247"/>
      <c r="D140" s="247"/>
      <c r="E140" s="248"/>
      <c r="F140" s="248"/>
      <c r="G140" s="249"/>
      <c r="H140" s="152"/>
      <c r="I140" s="152"/>
    </row>
    <row r="141" spans="1:10" ht="26.25" customHeight="1" x14ac:dyDescent="0.4">
      <c r="A141" s="104" t="s">
        <v>109</v>
      </c>
      <c r="B141" s="104" t="s">
        <v>110</v>
      </c>
      <c r="D141" s="268" t="s">
        <v>117</v>
      </c>
      <c r="H141" s="152"/>
      <c r="I141" s="152"/>
    </row>
    <row r="142" spans="1:10" ht="19.5" customHeight="1" x14ac:dyDescent="0.3">
      <c r="A142" s="98"/>
      <c r="B142" s="98"/>
      <c r="C142" s="98"/>
      <c r="D142" s="98"/>
      <c r="E142" s="98"/>
      <c r="H142" s="152"/>
      <c r="I142" s="152"/>
    </row>
    <row r="143" spans="1:10" ht="26.25" customHeight="1" x14ac:dyDescent="0.4">
      <c r="A143" s="117" t="s">
        <v>112</v>
      </c>
      <c r="B143" s="255">
        <v>1</v>
      </c>
      <c r="C143" s="158" t="s">
        <v>113</v>
      </c>
      <c r="D143" s="159" t="s">
        <v>63</v>
      </c>
      <c r="E143" s="160" t="s">
        <v>114</v>
      </c>
      <c r="F143" s="161" t="s">
        <v>115</v>
      </c>
      <c r="H143" s="152"/>
      <c r="I143" s="152"/>
    </row>
    <row r="144" spans="1:10" ht="26.25" customHeight="1" x14ac:dyDescent="0.4">
      <c r="A144" s="118" t="s">
        <v>93</v>
      </c>
      <c r="B144" s="256">
        <v>1</v>
      </c>
      <c r="C144" s="124">
        <v>1</v>
      </c>
      <c r="D144" s="270"/>
      <c r="E144" s="225" t="str">
        <f t="shared" ref="E144:E149" si="5">IF(ISBLANK(D144),"-",D144/$D$105*$D$102*$B$152)</f>
        <v>-</v>
      </c>
      <c r="F144" s="222" t="str">
        <f t="shared" ref="F144:F149" si="6">IF(ISBLANK(D144), "-", E144/$B$56)</f>
        <v>-</v>
      </c>
      <c r="H144" s="152"/>
      <c r="I144" s="152"/>
    </row>
    <row r="145" spans="1:9" ht="26.25" customHeight="1" x14ac:dyDescent="0.4">
      <c r="A145" s="118" t="s">
        <v>95</v>
      </c>
      <c r="B145" s="256">
        <v>1</v>
      </c>
      <c r="C145" s="124">
        <v>2</v>
      </c>
      <c r="D145" s="270"/>
      <c r="E145" s="226" t="str">
        <f t="shared" si="5"/>
        <v>-</v>
      </c>
      <c r="F145" s="223" t="str">
        <f t="shared" si="6"/>
        <v>-</v>
      </c>
      <c r="H145" s="152"/>
      <c r="I145" s="152"/>
    </row>
    <row r="146" spans="1:9" ht="26.25" customHeight="1" x14ac:dyDescent="0.4">
      <c r="A146" s="118" t="s">
        <v>96</v>
      </c>
      <c r="B146" s="256">
        <v>1</v>
      </c>
      <c r="C146" s="124">
        <v>3</v>
      </c>
      <c r="D146" s="270"/>
      <c r="E146" s="226" t="str">
        <f t="shared" si="5"/>
        <v>-</v>
      </c>
      <c r="F146" s="223" t="str">
        <f t="shared" si="6"/>
        <v>-</v>
      </c>
      <c r="H146" s="152"/>
      <c r="I146" s="152"/>
    </row>
    <row r="147" spans="1:9" ht="26.25" customHeight="1" x14ac:dyDescent="0.4">
      <c r="A147" s="118" t="s">
        <v>97</v>
      </c>
      <c r="B147" s="256">
        <v>1</v>
      </c>
      <c r="C147" s="124">
        <v>4</v>
      </c>
      <c r="D147" s="270"/>
      <c r="E147" s="226" t="str">
        <f t="shared" si="5"/>
        <v>-</v>
      </c>
      <c r="F147" s="223" t="str">
        <f t="shared" si="6"/>
        <v>-</v>
      </c>
      <c r="H147" s="152"/>
      <c r="I147" s="152"/>
    </row>
    <row r="148" spans="1:9" ht="26.25" customHeight="1" x14ac:dyDescent="0.4">
      <c r="A148" s="118" t="s">
        <v>98</v>
      </c>
      <c r="B148" s="256">
        <v>1</v>
      </c>
      <c r="C148" s="124">
        <v>5</v>
      </c>
      <c r="D148" s="270"/>
      <c r="E148" s="226" t="str">
        <f t="shared" si="5"/>
        <v>-</v>
      </c>
      <c r="F148" s="223" t="str">
        <f t="shared" si="6"/>
        <v>-</v>
      </c>
      <c r="H148" s="152"/>
      <c r="I148" s="152"/>
    </row>
    <row r="149" spans="1:9" ht="26.25" customHeight="1" x14ac:dyDescent="0.4">
      <c r="A149" s="118" t="s">
        <v>100</v>
      </c>
      <c r="B149" s="256">
        <v>1</v>
      </c>
      <c r="C149" s="127">
        <v>6</v>
      </c>
      <c r="D149" s="271"/>
      <c r="E149" s="227" t="str">
        <f t="shared" si="5"/>
        <v>-</v>
      </c>
      <c r="F149" s="224" t="str">
        <f t="shared" si="6"/>
        <v>-</v>
      </c>
      <c r="H149" s="152"/>
      <c r="I149" s="152"/>
    </row>
    <row r="150" spans="1:9" ht="26.25" customHeight="1" x14ac:dyDescent="0.4">
      <c r="A150" s="118" t="s">
        <v>101</v>
      </c>
      <c r="B150" s="256">
        <v>1</v>
      </c>
      <c r="C150" s="124"/>
      <c r="D150" s="150"/>
      <c r="E150" s="152"/>
      <c r="F150" s="166"/>
      <c r="H150" s="152"/>
      <c r="I150" s="152"/>
    </row>
    <row r="151" spans="1:9" ht="26.25" customHeight="1" x14ac:dyDescent="0.4">
      <c r="A151" s="118" t="s">
        <v>102</v>
      </c>
      <c r="B151" s="256">
        <v>1</v>
      </c>
      <c r="C151" s="124"/>
      <c r="D151" s="167"/>
      <c r="E151" s="168" t="s">
        <v>70</v>
      </c>
      <c r="F151" s="272" t="e">
        <f>AVERAGE(F144:F149)</f>
        <v>#DIV/0!</v>
      </c>
      <c r="H151" s="152"/>
      <c r="I151" s="152"/>
    </row>
    <row r="152" spans="1:9" ht="27" customHeight="1" x14ac:dyDescent="0.4">
      <c r="A152" s="118" t="s">
        <v>103</v>
      </c>
      <c r="B152" s="256">
        <f>(B151/B150)*(B149/B148)*(B147/B146)*(B145/B144)*B143</f>
        <v>1</v>
      </c>
      <c r="C152" s="170"/>
      <c r="D152" s="171"/>
      <c r="E152" s="172" t="s">
        <v>83</v>
      </c>
      <c r="F152" s="273" t="e">
        <f>STDEV(F144:F149)/F151</f>
        <v>#DIV/0!</v>
      </c>
      <c r="H152" s="152"/>
      <c r="I152" s="152"/>
    </row>
    <row r="153" spans="1:9" ht="27" customHeight="1" x14ac:dyDescent="0.4">
      <c r="A153" s="485" t="s">
        <v>77</v>
      </c>
      <c r="B153" s="489"/>
      <c r="C153" s="174"/>
      <c r="D153" s="175"/>
      <c r="E153" s="176" t="s">
        <v>20</v>
      </c>
      <c r="F153" s="274">
        <f>COUNT(F144:F149)</f>
        <v>0</v>
      </c>
      <c r="H153" s="152"/>
      <c r="I153" s="152"/>
    </row>
    <row r="154" spans="1:9" ht="19.5" customHeight="1" x14ac:dyDescent="0.3">
      <c r="A154" s="487"/>
      <c r="B154" s="490"/>
      <c r="C154" s="152"/>
      <c r="D154" s="152"/>
      <c r="E154" s="152"/>
      <c r="F154" s="150"/>
      <c r="G154" s="152"/>
      <c r="H154" s="152"/>
      <c r="I154" s="152"/>
    </row>
    <row r="155" spans="1:9" ht="18.75" x14ac:dyDescent="0.3">
      <c r="A155" s="115"/>
      <c r="B155" s="115"/>
      <c r="C155" s="152"/>
      <c r="D155" s="152"/>
      <c r="E155" s="152"/>
      <c r="F155" s="150"/>
      <c r="G155" s="152"/>
      <c r="H155" s="152"/>
      <c r="I155" s="152"/>
    </row>
    <row r="156" spans="1:9" ht="26.25" customHeight="1" x14ac:dyDescent="0.4">
      <c r="A156" s="105" t="s">
        <v>106</v>
      </c>
      <c r="B156" s="246" t="s">
        <v>107</v>
      </c>
      <c r="C156" s="498" t="str">
        <f>B20</f>
        <v>Artemether 20mg, Lumefantrine 120mg</v>
      </c>
      <c r="D156" s="498"/>
      <c r="E156" s="248" t="s">
        <v>116</v>
      </c>
      <c r="F156" s="248"/>
      <c r="G156" s="275" t="e">
        <f>F151</f>
        <v>#DIV/0!</v>
      </c>
      <c r="H156" s="152"/>
      <c r="I156" s="152"/>
    </row>
    <row r="157" spans="1:9" ht="18.75" x14ac:dyDescent="0.3">
      <c r="A157" s="105"/>
      <c r="B157" s="246"/>
      <c r="C157" s="250"/>
      <c r="D157" s="250"/>
      <c r="E157" s="248"/>
      <c r="F157" s="248"/>
      <c r="G157" s="249"/>
      <c r="H157" s="152"/>
      <c r="I157" s="152"/>
    </row>
    <row r="158" spans="1:9" ht="26.25" customHeight="1" x14ac:dyDescent="0.4">
      <c r="A158" s="104" t="s">
        <v>109</v>
      </c>
      <c r="B158" s="104" t="s">
        <v>110</v>
      </c>
      <c r="D158" s="268"/>
      <c r="H158" s="152"/>
      <c r="I158" s="152"/>
    </row>
    <row r="159" spans="1:9" ht="19.5" customHeight="1" x14ac:dyDescent="0.3">
      <c r="A159" s="98"/>
      <c r="B159" s="98"/>
      <c r="C159" s="98"/>
      <c r="D159" s="98"/>
      <c r="E159" s="98"/>
      <c r="H159" s="152"/>
      <c r="I159" s="152"/>
    </row>
    <row r="160" spans="1:9" ht="26.25" customHeight="1" x14ac:dyDescent="0.4">
      <c r="A160" s="117" t="s">
        <v>112</v>
      </c>
      <c r="B160" s="255">
        <v>1</v>
      </c>
      <c r="C160" s="158" t="s">
        <v>113</v>
      </c>
      <c r="D160" s="159" t="s">
        <v>63</v>
      </c>
      <c r="E160" s="160" t="s">
        <v>114</v>
      </c>
      <c r="F160" s="161" t="s">
        <v>115</v>
      </c>
      <c r="H160" s="152"/>
      <c r="I160" s="152"/>
    </row>
    <row r="161" spans="1:9" ht="26.25" customHeight="1" x14ac:dyDescent="0.4">
      <c r="A161" s="118" t="s">
        <v>93</v>
      </c>
      <c r="B161" s="256">
        <v>1</v>
      </c>
      <c r="C161" s="124">
        <v>1</v>
      </c>
      <c r="D161" s="270"/>
      <c r="E161" s="225" t="str">
        <f t="shared" ref="E161:E166" si="7">IF(ISBLANK(D161),"-",D161/$D$105*$D$102*$B$169)</f>
        <v>-</v>
      </c>
      <c r="F161" s="222" t="str">
        <f t="shared" ref="F161:F166" si="8">IF(ISBLANK(D161), "-", E161/$B$56)</f>
        <v>-</v>
      </c>
      <c r="H161" s="152"/>
      <c r="I161" s="152"/>
    </row>
    <row r="162" spans="1:9" ht="26.25" customHeight="1" x14ac:dyDescent="0.4">
      <c r="A162" s="118" t="s">
        <v>95</v>
      </c>
      <c r="B162" s="256">
        <v>1</v>
      </c>
      <c r="C162" s="124">
        <v>2</v>
      </c>
      <c r="D162" s="270"/>
      <c r="E162" s="226" t="str">
        <f t="shared" si="7"/>
        <v>-</v>
      </c>
      <c r="F162" s="223" t="str">
        <f t="shared" si="8"/>
        <v>-</v>
      </c>
      <c r="H162" s="152"/>
      <c r="I162" s="152"/>
    </row>
    <row r="163" spans="1:9" ht="26.25" customHeight="1" x14ac:dyDescent="0.4">
      <c r="A163" s="118" t="s">
        <v>96</v>
      </c>
      <c r="B163" s="256">
        <v>1</v>
      </c>
      <c r="C163" s="124">
        <v>3</v>
      </c>
      <c r="D163" s="270"/>
      <c r="E163" s="226" t="str">
        <f t="shared" si="7"/>
        <v>-</v>
      </c>
      <c r="F163" s="223" t="str">
        <f t="shared" si="8"/>
        <v>-</v>
      </c>
      <c r="H163" s="152"/>
      <c r="I163" s="152"/>
    </row>
    <row r="164" spans="1:9" ht="26.25" customHeight="1" x14ac:dyDescent="0.4">
      <c r="A164" s="118" t="s">
        <v>97</v>
      </c>
      <c r="B164" s="256">
        <v>1</v>
      </c>
      <c r="C164" s="124">
        <v>4</v>
      </c>
      <c r="D164" s="270"/>
      <c r="E164" s="226" t="str">
        <f t="shared" si="7"/>
        <v>-</v>
      </c>
      <c r="F164" s="223" t="str">
        <f t="shared" si="8"/>
        <v>-</v>
      </c>
      <c r="H164" s="152"/>
      <c r="I164" s="152"/>
    </row>
    <row r="165" spans="1:9" ht="26.25" customHeight="1" x14ac:dyDescent="0.4">
      <c r="A165" s="118" t="s">
        <v>98</v>
      </c>
      <c r="B165" s="256">
        <v>1</v>
      </c>
      <c r="C165" s="124">
        <v>5</v>
      </c>
      <c r="D165" s="270"/>
      <c r="E165" s="226" t="str">
        <f t="shared" si="7"/>
        <v>-</v>
      </c>
      <c r="F165" s="223" t="str">
        <f t="shared" si="8"/>
        <v>-</v>
      </c>
      <c r="H165" s="152"/>
      <c r="I165" s="152"/>
    </row>
    <row r="166" spans="1:9" ht="26.25" customHeight="1" x14ac:dyDescent="0.4">
      <c r="A166" s="118" t="s">
        <v>100</v>
      </c>
      <c r="B166" s="256">
        <v>1</v>
      </c>
      <c r="C166" s="127">
        <v>6</v>
      </c>
      <c r="D166" s="271"/>
      <c r="E166" s="227" t="str">
        <f t="shared" si="7"/>
        <v>-</v>
      </c>
      <c r="F166" s="224" t="str">
        <f t="shared" si="8"/>
        <v>-</v>
      </c>
      <c r="H166" s="152"/>
      <c r="I166" s="152"/>
    </row>
    <row r="167" spans="1:9" ht="26.25" customHeight="1" x14ac:dyDescent="0.4">
      <c r="A167" s="118" t="s">
        <v>101</v>
      </c>
      <c r="B167" s="256">
        <v>1</v>
      </c>
      <c r="C167" s="124"/>
      <c r="D167" s="150"/>
      <c r="E167" s="152"/>
      <c r="F167" s="166"/>
      <c r="H167" s="152"/>
      <c r="I167" s="152"/>
    </row>
    <row r="168" spans="1:9" ht="26.25" customHeight="1" x14ac:dyDescent="0.4">
      <c r="A168" s="118" t="s">
        <v>102</v>
      </c>
      <c r="B168" s="256">
        <v>1</v>
      </c>
      <c r="C168" s="124"/>
      <c r="D168" s="167"/>
      <c r="E168" s="168" t="s">
        <v>70</v>
      </c>
      <c r="F168" s="272" t="e">
        <f>AVERAGE(F161:F166)</f>
        <v>#DIV/0!</v>
      </c>
      <c r="H168" s="152"/>
      <c r="I168" s="152"/>
    </row>
    <row r="169" spans="1:9" ht="27" customHeight="1" x14ac:dyDescent="0.4">
      <c r="A169" s="118" t="s">
        <v>103</v>
      </c>
      <c r="B169" s="256">
        <f>(B168/B167)*(B166/B165)*(B164/B163)*(B162/B161)*B160</f>
        <v>1</v>
      </c>
      <c r="C169" s="170"/>
      <c r="D169" s="171"/>
      <c r="E169" s="172" t="s">
        <v>83</v>
      </c>
      <c r="F169" s="273" t="e">
        <f>STDEV(F161:F166)/F168</f>
        <v>#DIV/0!</v>
      </c>
      <c r="H169" s="152"/>
      <c r="I169" s="152"/>
    </row>
    <row r="170" spans="1:9" ht="27" customHeight="1" x14ac:dyDescent="0.4">
      <c r="A170" s="485" t="s">
        <v>77</v>
      </c>
      <c r="B170" s="489"/>
      <c r="C170" s="174"/>
      <c r="D170" s="175"/>
      <c r="E170" s="176" t="s">
        <v>20</v>
      </c>
      <c r="F170" s="274">
        <f>COUNT(F161:F166)</f>
        <v>0</v>
      </c>
      <c r="H170" s="152"/>
      <c r="I170" s="152"/>
    </row>
    <row r="171" spans="1:9" ht="19.5" customHeight="1" x14ac:dyDescent="0.3">
      <c r="A171" s="487"/>
      <c r="B171" s="490"/>
      <c r="C171" s="152"/>
      <c r="D171" s="152"/>
      <c r="E171" s="152"/>
      <c r="F171" s="150"/>
      <c r="G171" s="152"/>
      <c r="H171" s="152"/>
      <c r="I171" s="152"/>
    </row>
    <row r="172" spans="1:9" ht="18.75" x14ac:dyDescent="0.3">
      <c r="A172" s="115"/>
      <c r="B172" s="115"/>
      <c r="C172" s="152"/>
      <c r="D172" s="152"/>
      <c r="E172" s="152"/>
      <c r="F172" s="150"/>
      <c r="G172" s="152"/>
      <c r="H172" s="152"/>
      <c r="I172" s="152"/>
    </row>
    <row r="173" spans="1:9" ht="26.25" customHeight="1" x14ac:dyDescent="0.4">
      <c r="A173" s="105" t="s">
        <v>106</v>
      </c>
      <c r="B173" s="246" t="s">
        <v>107</v>
      </c>
      <c r="C173" s="498" t="str">
        <f>B20</f>
        <v>Artemether 20mg, Lumefantrine 120mg</v>
      </c>
      <c r="D173" s="498"/>
      <c r="E173" s="248" t="s">
        <v>116</v>
      </c>
      <c r="F173" s="248"/>
      <c r="G173" s="275" t="e">
        <f>F168</f>
        <v>#DIV/0!</v>
      </c>
      <c r="H173" s="152"/>
      <c r="I173" s="152"/>
    </row>
    <row r="174" spans="1:9" ht="18.75" x14ac:dyDescent="0.3">
      <c r="A174" s="105"/>
      <c r="B174" s="246"/>
      <c r="C174" s="250"/>
      <c r="D174" s="250"/>
      <c r="E174" s="248"/>
      <c r="F174" s="248"/>
      <c r="G174" s="249"/>
      <c r="H174" s="152"/>
      <c r="I174" s="152"/>
    </row>
    <row r="175" spans="1:9" ht="19.5" customHeight="1" x14ac:dyDescent="0.3">
      <c r="A175" s="191"/>
      <c r="B175" s="191"/>
      <c r="C175" s="192"/>
      <c r="D175" s="192"/>
      <c r="E175" s="192"/>
      <c r="F175" s="192"/>
      <c r="G175" s="192"/>
      <c r="H175" s="192"/>
    </row>
    <row r="176" spans="1:9" ht="18.75" x14ac:dyDescent="0.3">
      <c r="B176" s="509" t="s">
        <v>26</v>
      </c>
      <c r="C176" s="509"/>
      <c r="E176" s="179" t="s">
        <v>27</v>
      </c>
      <c r="F176" s="207"/>
      <c r="G176" s="509" t="s">
        <v>28</v>
      </c>
      <c r="H176" s="509"/>
    </row>
    <row r="177" spans="1:9" ht="83.1" customHeight="1" x14ac:dyDescent="0.3">
      <c r="A177" s="208" t="s">
        <v>29</v>
      </c>
      <c r="B177" s="244"/>
      <c r="C177" s="244"/>
      <c r="E177" s="203"/>
      <c r="F177" s="152"/>
      <c r="G177" s="205"/>
      <c r="H177" s="205"/>
    </row>
    <row r="178" spans="1:9" ht="83.1" customHeight="1" x14ac:dyDescent="0.3">
      <c r="A178" s="208" t="s">
        <v>30</v>
      </c>
      <c r="B178" s="245"/>
      <c r="C178" s="245"/>
      <c r="E178" s="204"/>
      <c r="F178" s="152"/>
      <c r="G178" s="206"/>
      <c r="H178" s="206"/>
    </row>
    <row r="179" spans="1:9" ht="18.75" x14ac:dyDescent="0.3">
      <c r="A179" s="149"/>
      <c r="B179" s="149"/>
      <c r="C179" s="150"/>
      <c r="D179" s="150"/>
      <c r="E179" s="150"/>
      <c r="F179" s="151"/>
      <c r="G179" s="150"/>
      <c r="H179" s="150"/>
      <c r="I179" s="152"/>
    </row>
    <row r="180" spans="1:9" ht="18.75" x14ac:dyDescent="0.3">
      <c r="A180" s="149"/>
      <c r="B180" s="149"/>
      <c r="C180" s="150"/>
      <c r="D180" s="150"/>
      <c r="E180" s="150"/>
      <c r="F180" s="151"/>
      <c r="G180" s="150"/>
      <c r="H180" s="150"/>
      <c r="I180" s="152"/>
    </row>
    <row r="181" spans="1:9" ht="18.75" x14ac:dyDescent="0.3">
      <c r="A181" s="149"/>
      <c r="B181" s="149"/>
      <c r="C181" s="150"/>
      <c r="D181" s="150"/>
      <c r="E181" s="150"/>
      <c r="F181" s="151"/>
      <c r="G181" s="150"/>
      <c r="H181" s="150"/>
      <c r="I181" s="152"/>
    </row>
    <row r="182" spans="1:9" ht="18.75" x14ac:dyDescent="0.3">
      <c r="A182" s="149"/>
      <c r="B182" s="149"/>
      <c r="C182" s="150"/>
      <c r="D182" s="150"/>
      <c r="E182" s="150"/>
      <c r="F182" s="151"/>
      <c r="G182" s="150"/>
      <c r="H182" s="150"/>
      <c r="I182" s="152"/>
    </row>
    <row r="183" spans="1:9" ht="18.75" x14ac:dyDescent="0.3">
      <c r="A183" s="149"/>
      <c r="B183" s="149"/>
      <c r="C183" s="150"/>
      <c r="D183" s="150"/>
      <c r="E183" s="150"/>
      <c r="F183" s="151"/>
      <c r="G183" s="150"/>
      <c r="H183" s="150"/>
      <c r="I183" s="152"/>
    </row>
    <row r="184" spans="1:9" ht="18.75" x14ac:dyDescent="0.3">
      <c r="A184" s="149"/>
      <c r="B184" s="149"/>
      <c r="C184" s="150"/>
      <c r="D184" s="150"/>
      <c r="E184" s="150"/>
      <c r="F184" s="151"/>
      <c r="G184" s="150"/>
      <c r="H184" s="150"/>
      <c r="I184" s="152"/>
    </row>
    <row r="185" spans="1:9" ht="18.75" x14ac:dyDescent="0.3">
      <c r="A185" s="149"/>
      <c r="B185" s="149"/>
      <c r="C185" s="150"/>
      <c r="D185" s="150"/>
      <c r="E185" s="150"/>
      <c r="F185" s="151"/>
      <c r="G185" s="150"/>
      <c r="H185" s="150"/>
      <c r="I185" s="152"/>
    </row>
    <row r="186" spans="1:9" ht="18.75" x14ac:dyDescent="0.3">
      <c r="A186" s="149"/>
      <c r="B186" s="149"/>
      <c r="C186" s="150"/>
      <c r="D186" s="150"/>
      <c r="E186" s="150"/>
      <c r="F186" s="151"/>
      <c r="G186" s="150"/>
      <c r="H186" s="150"/>
      <c r="I186" s="152"/>
    </row>
    <row r="187" spans="1:9" ht="18.75" x14ac:dyDescent="0.3">
      <c r="A187" s="149"/>
      <c r="B187" s="149"/>
      <c r="C187" s="150"/>
      <c r="D187" s="150"/>
      <c r="E187" s="150"/>
      <c r="F187" s="151"/>
      <c r="G187" s="150"/>
      <c r="H187" s="150"/>
      <c r="I187" s="152"/>
    </row>
    <row r="250" spans="1:1" x14ac:dyDescent="0.25">
      <c r="A250" s="2">
        <v>0</v>
      </c>
    </row>
  </sheetData>
  <sheetProtection formatCells="0" formatColumns="0"/>
  <mergeCells count="33">
    <mergeCell ref="B176:C176"/>
    <mergeCell ref="A136:B137"/>
    <mergeCell ref="A170:B171"/>
    <mergeCell ref="A153:B154"/>
    <mergeCell ref="G176:H17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38" zoomScale="50" zoomScaleNormal="50" zoomScalePageLayoutView="41" workbookViewId="0">
      <selection activeCell="B18" sqref="B18: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6" t="s">
        <v>45</v>
      </c>
      <c r="B1" s="476"/>
      <c r="C1" s="476"/>
      <c r="D1" s="476"/>
      <c r="E1" s="476"/>
      <c r="F1" s="476"/>
      <c r="G1" s="476"/>
      <c r="H1" s="476"/>
      <c r="I1" s="476"/>
    </row>
    <row r="2" spans="1:9" ht="18.75" customHeight="1" x14ac:dyDescent="0.25">
      <c r="A2" s="476"/>
      <c r="B2" s="476"/>
      <c r="C2" s="476"/>
      <c r="D2" s="476"/>
      <c r="E2" s="476"/>
      <c r="F2" s="476"/>
      <c r="G2" s="476"/>
      <c r="H2" s="476"/>
      <c r="I2" s="476"/>
    </row>
    <row r="3" spans="1:9" ht="18.75" customHeight="1" x14ac:dyDescent="0.25">
      <c r="A3" s="476"/>
      <c r="B3" s="476"/>
      <c r="C3" s="476"/>
      <c r="D3" s="476"/>
      <c r="E3" s="476"/>
      <c r="F3" s="476"/>
      <c r="G3" s="476"/>
      <c r="H3" s="476"/>
      <c r="I3" s="476"/>
    </row>
    <row r="4" spans="1:9" ht="18.75" customHeight="1" x14ac:dyDescent="0.25">
      <c r="A4" s="476"/>
      <c r="B4" s="476"/>
      <c r="C4" s="476"/>
      <c r="D4" s="476"/>
      <c r="E4" s="476"/>
      <c r="F4" s="476"/>
      <c r="G4" s="476"/>
      <c r="H4" s="476"/>
      <c r="I4" s="476"/>
    </row>
    <row r="5" spans="1:9" ht="18.75" customHeight="1" x14ac:dyDescent="0.25">
      <c r="A5" s="476"/>
      <c r="B5" s="476"/>
      <c r="C5" s="476"/>
      <c r="D5" s="476"/>
      <c r="E5" s="476"/>
      <c r="F5" s="476"/>
      <c r="G5" s="476"/>
      <c r="H5" s="476"/>
      <c r="I5" s="476"/>
    </row>
    <row r="6" spans="1:9" ht="18.75" customHeight="1" x14ac:dyDescent="0.25">
      <c r="A6" s="476"/>
      <c r="B6" s="476"/>
      <c r="C6" s="476"/>
      <c r="D6" s="476"/>
      <c r="E6" s="476"/>
      <c r="F6" s="476"/>
      <c r="G6" s="476"/>
      <c r="H6" s="476"/>
      <c r="I6" s="476"/>
    </row>
    <row r="7" spans="1:9" ht="18.75" customHeight="1" x14ac:dyDescent="0.25">
      <c r="A7" s="476"/>
      <c r="B7" s="476"/>
      <c r="C7" s="476"/>
      <c r="D7" s="476"/>
      <c r="E7" s="476"/>
      <c r="F7" s="476"/>
      <c r="G7" s="476"/>
      <c r="H7" s="476"/>
      <c r="I7" s="476"/>
    </row>
    <row r="8" spans="1:9" x14ac:dyDescent="0.25">
      <c r="A8" s="477" t="s">
        <v>46</v>
      </c>
      <c r="B8" s="477"/>
      <c r="C8" s="477"/>
      <c r="D8" s="477"/>
      <c r="E8" s="477"/>
      <c r="F8" s="477"/>
      <c r="G8" s="477"/>
      <c r="H8" s="477"/>
      <c r="I8" s="477"/>
    </row>
    <row r="9" spans="1:9" x14ac:dyDescent="0.25">
      <c r="A9" s="477"/>
      <c r="B9" s="477"/>
      <c r="C9" s="477"/>
      <c r="D9" s="477"/>
      <c r="E9" s="477"/>
      <c r="F9" s="477"/>
      <c r="G9" s="477"/>
      <c r="H9" s="477"/>
      <c r="I9" s="477"/>
    </row>
    <row r="10" spans="1:9" x14ac:dyDescent="0.25">
      <c r="A10" s="477"/>
      <c r="B10" s="477"/>
      <c r="C10" s="477"/>
      <c r="D10" s="477"/>
      <c r="E10" s="477"/>
      <c r="F10" s="477"/>
      <c r="G10" s="477"/>
      <c r="H10" s="477"/>
      <c r="I10" s="477"/>
    </row>
    <row r="11" spans="1:9" x14ac:dyDescent="0.25">
      <c r="A11" s="477"/>
      <c r="B11" s="477"/>
      <c r="C11" s="477"/>
      <c r="D11" s="477"/>
      <c r="E11" s="477"/>
      <c r="F11" s="477"/>
      <c r="G11" s="477"/>
      <c r="H11" s="477"/>
      <c r="I11" s="477"/>
    </row>
    <row r="12" spans="1:9" x14ac:dyDescent="0.25">
      <c r="A12" s="477"/>
      <c r="B12" s="477"/>
      <c r="C12" s="477"/>
      <c r="D12" s="477"/>
      <c r="E12" s="477"/>
      <c r="F12" s="477"/>
      <c r="G12" s="477"/>
      <c r="H12" s="477"/>
      <c r="I12" s="477"/>
    </row>
    <row r="13" spans="1:9" x14ac:dyDescent="0.25">
      <c r="A13" s="477"/>
      <c r="B13" s="477"/>
      <c r="C13" s="477"/>
      <c r="D13" s="477"/>
      <c r="E13" s="477"/>
      <c r="F13" s="477"/>
      <c r="G13" s="477"/>
      <c r="H13" s="477"/>
      <c r="I13" s="477"/>
    </row>
    <row r="14" spans="1:9" x14ac:dyDescent="0.25">
      <c r="A14" s="477"/>
      <c r="B14" s="477"/>
      <c r="C14" s="477"/>
      <c r="D14" s="477"/>
      <c r="E14" s="477"/>
      <c r="F14" s="477"/>
      <c r="G14" s="477"/>
      <c r="H14" s="477"/>
      <c r="I14" s="477"/>
    </row>
    <row r="15" spans="1:9" ht="19.5" customHeight="1" x14ac:dyDescent="0.3">
      <c r="A15" s="278"/>
    </row>
    <row r="16" spans="1:9" ht="19.5" customHeight="1" x14ac:dyDescent="0.3">
      <c r="A16" s="513" t="s">
        <v>31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47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280" t="s">
        <v>33</v>
      </c>
      <c r="B18" s="512" t="s">
        <v>147</v>
      </c>
      <c r="C18" s="512"/>
      <c r="D18" s="426"/>
      <c r="E18" s="281"/>
      <c r="F18" s="282"/>
      <c r="G18" s="282"/>
      <c r="H18" s="282"/>
    </row>
    <row r="19" spans="1:14" ht="26.25" customHeight="1" x14ac:dyDescent="0.4">
      <c r="A19" s="280" t="s">
        <v>34</v>
      </c>
      <c r="B19" s="283" t="s">
        <v>148</v>
      </c>
      <c r="C19" s="435">
        <v>1</v>
      </c>
      <c r="D19" s="282"/>
      <c r="E19" s="282"/>
      <c r="F19" s="282"/>
      <c r="G19" s="282"/>
      <c r="H19" s="282"/>
    </row>
    <row r="20" spans="1:14" ht="26.25" customHeight="1" x14ac:dyDescent="0.4">
      <c r="A20" s="280" t="s">
        <v>35</v>
      </c>
      <c r="B20" s="517" t="s">
        <v>9</v>
      </c>
      <c r="C20" s="517"/>
      <c r="D20" s="282"/>
      <c r="E20" s="282"/>
      <c r="F20" s="282"/>
      <c r="G20" s="282"/>
      <c r="H20" s="282"/>
    </row>
    <row r="21" spans="1:14" ht="26.25" customHeight="1" x14ac:dyDescent="0.4">
      <c r="A21" s="280" t="s">
        <v>36</v>
      </c>
      <c r="B21" s="517" t="s">
        <v>11</v>
      </c>
      <c r="C21" s="517"/>
      <c r="D21" s="517"/>
      <c r="E21" s="517"/>
      <c r="F21" s="517"/>
      <c r="G21" s="517"/>
      <c r="H21" s="517"/>
      <c r="I21" s="284"/>
    </row>
    <row r="22" spans="1:14" ht="26.25" customHeight="1" x14ac:dyDescent="0.4">
      <c r="A22" s="280" t="s">
        <v>37</v>
      </c>
      <c r="B22" s="285" t="s">
        <v>12</v>
      </c>
      <c r="C22" s="282"/>
      <c r="D22" s="282"/>
      <c r="E22" s="282"/>
      <c r="F22" s="282"/>
      <c r="G22" s="282"/>
      <c r="H22" s="282"/>
    </row>
    <row r="23" spans="1:14" ht="26.25" customHeight="1" x14ac:dyDescent="0.4">
      <c r="A23" s="280" t="s">
        <v>38</v>
      </c>
      <c r="B23" s="285"/>
      <c r="C23" s="282"/>
      <c r="D23" s="282"/>
      <c r="E23" s="282"/>
      <c r="F23" s="282"/>
      <c r="G23" s="282"/>
      <c r="H23" s="282"/>
    </row>
    <row r="24" spans="1:14" ht="18.75" x14ac:dyDescent="0.3">
      <c r="A24" s="280"/>
      <c r="B24" s="286"/>
    </row>
    <row r="25" spans="1:14" ht="18.75" x14ac:dyDescent="0.3">
      <c r="A25" s="287" t="s">
        <v>1</v>
      </c>
      <c r="B25" s="286"/>
    </row>
    <row r="26" spans="1:14" ht="26.25" customHeight="1" x14ac:dyDescent="0.4">
      <c r="A26" s="288" t="s">
        <v>4</v>
      </c>
      <c r="B26" s="512" t="s">
        <v>143</v>
      </c>
      <c r="C26" s="512"/>
    </row>
    <row r="27" spans="1:14" ht="26.25" customHeight="1" x14ac:dyDescent="0.4">
      <c r="A27" s="289" t="s">
        <v>48</v>
      </c>
      <c r="B27" s="518" t="s">
        <v>149</v>
      </c>
      <c r="C27" s="518"/>
    </row>
    <row r="28" spans="1:14" ht="27" customHeight="1" x14ac:dyDescent="0.4">
      <c r="A28" s="289" t="s">
        <v>6</v>
      </c>
      <c r="B28" s="290">
        <v>100.2</v>
      </c>
    </row>
    <row r="29" spans="1:14" s="14" customFormat="1" ht="27" customHeight="1" x14ac:dyDescent="0.4">
      <c r="A29" s="289" t="s">
        <v>49</v>
      </c>
      <c r="B29" s="291">
        <v>0</v>
      </c>
      <c r="C29" s="491" t="s">
        <v>50</v>
      </c>
      <c r="D29" s="492"/>
      <c r="E29" s="492"/>
      <c r="F29" s="492"/>
      <c r="G29" s="493"/>
      <c r="I29" s="292"/>
      <c r="J29" s="292"/>
      <c r="K29" s="292"/>
      <c r="L29" s="292"/>
    </row>
    <row r="30" spans="1:14" s="14" customFormat="1" ht="19.5" customHeight="1" x14ac:dyDescent="0.3">
      <c r="A30" s="289" t="s">
        <v>51</v>
      </c>
      <c r="B30" s="293">
        <f>B28-B29</f>
        <v>100.2</v>
      </c>
      <c r="C30" s="294"/>
      <c r="D30" s="294"/>
      <c r="E30" s="294"/>
      <c r="F30" s="294"/>
      <c r="G30" s="295"/>
      <c r="I30" s="292"/>
      <c r="J30" s="292"/>
      <c r="K30" s="292"/>
      <c r="L30" s="292"/>
    </row>
    <row r="31" spans="1:14" s="14" customFormat="1" ht="27" customHeight="1" x14ac:dyDescent="0.4">
      <c r="A31" s="289" t="s">
        <v>52</v>
      </c>
      <c r="B31" s="296">
        <v>1</v>
      </c>
      <c r="C31" s="481" t="s">
        <v>53</v>
      </c>
      <c r="D31" s="482"/>
      <c r="E31" s="482"/>
      <c r="F31" s="482"/>
      <c r="G31" s="482"/>
      <c r="H31" s="483"/>
      <c r="I31" s="292"/>
      <c r="J31" s="292"/>
      <c r="K31" s="292"/>
      <c r="L31" s="292"/>
    </row>
    <row r="32" spans="1:14" s="14" customFormat="1" ht="27" customHeight="1" x14ac:dyDescent="0.4">
      <c r="A32" s="289" t="s">
        <v>54</v>
      </c>
      <c r="B32" s="296">
        <v>1</v>
      </c>
      <c r="C32" s="481" t="s">
        <v>55</v>
      </c>
      <c r="D32" s="482"/>
      <c r="E32" s="482"/>
      <c r="F32" s="482"/>
      <c r="G32" s="482"/>
      <c r="H32" s="483"/>
      <c r="I32" s="292"/>
      <c r="J32" s="292"/>
      <c r="K32" s="292"/>
      <c r="L32" s="297"/>
      <c r="M32" s="297"/>
      <c r="N32" s="298"/>
    </row>
    <row r="33" spans="1:14" s="14" customFormat="1" ht="17.25" customHeight="1" x14ac:dyDescent="0.3">
      <c r="A33" s="289"/>
      <c r="B33" s="299"/>
      <c r="C33" s="300"/>
      <c r="D33" s="300"/>
      <c r="E33" s="300"/>
      <c r="F33" s="300"/>
      <c r="G33" s="300"/>
      <c r="H33" s="300"/>
      <c r="I33" s="292"/>
      <c r="J33" s="292"/>
      <c r="K33" s="292"/>
      <c r="L33" s="297"/>
      <c r="M33" s="297"/>
      <c r="N33" s="298"/>
    </row>
    <row r="34" spans="1:14" s="14" customFormat="1" ht="18.75" x14ac:dyDescent="0.3">
      <c r="A34" s="289" t="s">
        <v>56</v>
      </c>
      <c r="B34" s="301">
        <f>B31/B32</f>
        <v>1</v>
      </c>
      <c r="C34" s="279" t="s">
        <v>57</v>
      </c>
      <c r="D34" s="279"/>
      <c r="E34" s="279"/>
      <c r="F34" s="279"/>
      <c r="G34" s="279"/>
      <c r="I34" s="292"/>
      <c r="J34" s="292"/>
      <c r="K34" s="292"/>
      <c r="L34" s="297"/>
      <c r="M34" s="297"/>
      <c r="N34" s="298"/>
    </row>
    <row r="35" spans="1:14" s="14" customFormat="1" ht="19.5" customHeight="1" x14ac:dyDescent="0.3">
      <c r="A35" s="289"/>
      <c r="B35" s="293"/>
      <c r="G35" s="279"/>
      <c r="I35" s="292"/>
      <c r="J35" s="292"/>
      <c r="K35" s="292"/>
      <c r="L35" s="297"/>
      <c r="M35" s="297"/>
      <c r="N35" s="298"/>
    </row>
    <row r="36" spans="1:14" s="14" customFormat="1" ht="27" customHeight="1" x14ac:dyDescent="0.4">
      <c r="A36" s="302" t="s">
        <v>118</v>
      </c>
      <c r="B36" s="303">
        <v>50</v>
      </c>
      <c r="C36" s="279"/>
      <c r="D36" s="499" t="s">
        <v>59</v>
      </c>
      <c r="E36" s="508"/>
      <c r="F36" s="499" t="s">
        <v>60</v>
      </c>
      <c r="G36" s="500"/>
      <c r="J36" s="292"/>
      <c r="K36" s="292"/>
      <c r="L36" s="297"/>
      <c r="M36" s="297"/>
      <c r="N36" s="298"/>
    </row>
    <row r="37" spans="1:14" s="14" customFormat="1" ht="27" customHeight="1" x14ac:dyDescent="0.4">
      <c r="A37" s="304" t="s">
        <v>61</v>
      </c>
      <c r="B37" s="305">
        <v>4</v>
      </c>
      <c r="C37" s="306" t="s">
        <v>90</v>
      </c>
      <c r="D37" s="307" t="s">
        <v>63</v>
      </c>
      <c r="E37" s="308" t="s">
        <v>64</v>
      </c>
      <c r="F37" s="307" t="s">
        <v>63</v>
      </c>
      <c r="G37" s="309" t="s">
        <v>64</v>
      </c>
      <c r="I37" s="310" t="s">
        <v>119</v>
      </c>
      <c r="J37" s="292"/>
      <c r="K37" s="292"/>
      <c r="L37" s="297"/>
      <c r="M37" s="297"/>
      <c r="N37" s="298"/>
    </row>
    <row r="38" spans="1:14" s="14" customFormat="1" ht="26.25" customHeight="1" x14ac:dyDescent="0.4">
      <c r="A38" s="304" t="s">
        <v>65</v>
      </c>
      <c r="B38" s="305">
        <v>20</v>
      </c>
      <c r="C38" s="311">
        <v>1</v>
      </c>
      <c r="D38" s="312">
        <v>7634985</v>
      </c>
      <c r="E38" s="313">
        <f>IF(ISBLANK(D38),"-",$D$48/$D$45*D38)</f>
        <v>157432758.45004207</v>
      </c>
      <c r="F38" s="312">
        <v>9673668</v>
      </c>
      <c r="G38" s="314">
        <f>IF(ISBLANK(F38),"-",$D$48/$F$45*F38)</f>
        <v>161444135.14108902</v>
      </c>
      <c r="I38" s="315"/>
      <c r="J38" s="292"/>
      <c r="K38" s="292"/>
      <c r="L38" s="297"/>
      <c r="M38" s="297"/>
      <c r="N38" s="298"/>
    </row>
    <row r="39" spans="1:14" s="14" customFormat="1" ht="26.25" customHeight="1" x14ac:dyDescent="0.4">
      <c r="A39" s="304" t="s">
        <v>66</v>
      </c>
      <c r="B39" s="305">
        <v>1</v>
      </c>
      <c r="C39" s="316">
        <v>2</v>
      </c>
      <c r="D39" s="317">
        <v>7667532</v>
      </c>
      <c r="E39" s="318">
        <f>IF(ISBLANK(D39),"-",$D$48/$D$45*D39)</f>
        <v>158103874.89483842</v>
      </c>
      <c r="F39" s="317">
        <v>9652197</v>
      </c>
      <c r="G39" s="319">
        <f>IF(ISBLANK(F39),"-",$D$48/$F$45*F39)</f>
        <v>161085804.97867137</v>
      </c>
      <c r="I39" s="520">
        <f>ABS((F43/D43*D42)-F42)/D42</f>
        <v>2.5616791114759757E-2</v>
      </c>
      <c r="J39" s="292"/>
      <c r="K39" s="292"/>
      <c r="L39" s="297"/>
      <c r="M39" s="297"/>
      <c r="N39" s="298"/>
    </row>
    <row r="40" spans="1:14" ht="26.25" customHeight="1" x14ac:dyDescent="0.4">
      <c r="A40" s="304" t="s">
        <v>67</v>
      </c>
      <c r="B40" s="305">
        <v>1</v>
      </c>
      <c r="C40" s="316">
        <v>3</v>
      </c>
      <c r="D40" s="317">
        <v>7678672</v>
      </c>
      <c r="E40" s="318">
        <f>IF(ISBLANK(D40),"-",$D$48/$D$45*D40)</f>
        <v>158333580.77233964</v>
      </c>
      <c r="F40" s="317">
        <v>9656953</v>
      </c>
      <c r="G40" s="319">
        <f>IF(ISBLANK(F40),"-",$D$48/$F$45*F40)</f>
        <v>161165178.00519359</v>
      </c>
      <c r="I40" s="520"/>
      <c r="L40" s="297"/>
      <c r="M40" s="297"/>
      <c r="N40" s="320"/>
    </row>
    <row r="41" spans="1:14" ht="27" customHeight="1" x14ac:dyDescent="0.4">
      <c r="A41" s="304" t="s">
        <v>68</v>
      </c>
      <c r="B41" s="305">
        <v>1</v>
      </c>
      <c r="C41" s="321">
        <v>4</v>
      </c>
      <c r="D41" s="322"/>
      <c r="E41" s="323" t="str">
        <f>IF(ISBLANK(D41),"-",$D$48/$D$45*D41)</f>
        <v>-</v>
      </c>
      <c r="F41" s="322"/>
      <c r="G41" s="324" t="str">
        <f>IF(ISBLANK(F41),"-",$D$48/$F$45*F41)</f>
        <v>-</v>
      </c>
      <c r="I41" s="325"/>
      <c r="L41" s="297"/>
      <c r="M41" s="297"/>
      <c r="N41" s="320"/>
    </row>
    <row r="42" spans="1:14" ht="27" customHeight="1" x14ac:dyDescent="0.4">
      <c r="A42" s="304" t="s">
        <v>69</v>
      </c>
      <c r="B42" s="305">
        <v>1</v>
      </c>
      <c r="C42" s="326" t="s">
        <v>70</v>
      </c>
      <c r="D42" s="327">
        <f>AVERAGE(D38:D41)</f>
        <v>7660396.333333333</v>
      </c>
      <c r="E42" s="328">
        <f>AVERAGE(E38:E41)</f>
        <v>157956738.03907338</v>
      </c>
      <c r="F42" s="327">
        <f>AVERAGE(F38:F41)</f>
        <v>9660939.333333334</v>
      </c>
      <c r="G42" s="329">
        <f>AVERAGE(G38:G41)</f>
        <v>161231706.04165134</v>
      </c>
      <c r="H42" s="330"/>
    </row>
    <row r="43" spans="1:14" ht="26.25" customHeight="1" x14ac:dyDescent="0.4">
      <c r="A43" s="304" t="s">
        <v>71</v>
      </c>
      <c r="B43" s="305">
        <v>1</v>
      </c>
      <c r="C43" s="331" t="s">
        <v>120</v>
      </c>
      <c r="D43" s="332">
        <v>14.52</v>
      </c>
      <c r="E43" s="320"/>
      <c r="F43" s="332">
        <v>17.940000000000001</v>
      </c>
      <c r="H43" s="330"/>
    </row>
    <row r="44" spans="1:14" ht="26.25" customHeight="1" x14ac:dyDescent="0.4">
      <c r="A44" s="304" t="s">
        <v>73</v>
      </c>
      <c r="B44" s="305">
        <v>1</v>
      </c>
      <c r="C44" s="333" t="s">
        <v>121</v>
      </c>
      <c r="D44" s="334">
        <f>D43*$B$34</f>
        <v>14.52</v>
      </c>
      <c r="E44" s="335"/>
      <c r="F44" s="334">
        <f>F43*$B$34</f>
        <v>17.940000000000001</v>
      </c>
      <c r="H44" s="330"/>
    </row>
    <row r="45" spans="1:14" ht="19.5" customHeight="1" x14ac:dyDescent="0.3">
      <c r="A45" s="304" t="s">
        <v>75</v>
      </c>
      <c r="B45" s="336">
        <f>(B44/B43)*(B42/B41)*(B40/B39)*(B38/B37)*B36</f>
        <v>250</v>
      </c>
      <c r="C45" s="333" t="s">
        <v>76</v>
      </c>
      <c r="D45" s="337">
        <f>D44*$B$30/100</f>
        <v>14.54904</v>
      </c>
      <c r="E45" s="338"/>
      <c r="F45" s="337">
        <f>F44*$B$30/100</f>
        <v>17.975880000000004</v>
      </c>
      <c r="H45" s="330"/>
    </row>
    <row r="46" spans="1:14" ht="19.5" customHeight="1" x14ac:dyDescent="0.3">
      <c r="A46" s="485" t="s">
        <v>77</v>
      </c>
      <c r="B46" s="489"/>
      <c r="C46" s="333" t="s">
        <v>78</v>
      </c>
      <c r="D46" s="339">
        <f>D45/$B$45</f>
        <v>5.8196159999999997E-2</v>
      </c>
      <c r="E46" s="340"/>
      <c r="F46" s="341">
        <f>F45/$B$45</f>
        <v>7.1903520000000012E-2</v>
      </c>
      <c r="H46" s="330"/>
    </row>
    <row r="47" spans="1:14" ht="27" customHeight="1" x14ac:dyDescent="0.4">
      <c r="A47" s="487"/>
      <c r="B47" s="490"/>
      <c r="C47" s="342" t="s">
        <v>122</v>
      </c>
      <c r="D47" s="343">
        <v>1.2</v>
      </c>
      <c r="E47" s="344"/>
      <c r="F47" s="340"/>
      <c r="H47" s="330"/>
    </row>
    <row r="48" spans="1:14" ht="18.75" x14ac:dyDescent="0.3">
      <c r="C48" s="345" t="s">
        <v>80</v>
      </c>
      <c r="D48" s="337">
        <f>D47*$B$45</f>
        <v>300</v>
      </c>
      <c r="F48" s="346"/>
      <c r="H48" s="330"/>
    </row>
    <row r="49" spans="1:12" ht="19.5" customHeight="1" x14ac:dyDescent="0.3">
      <c r="C49" s="347" t="s">
        <v>81</v>
      </c>
      <c r="D49" s="348">
        <f>D48/B34</f>
        <v>300</v>
      </c>
      <c r="F49" s="346"/>
      <c r="H49" s="330"/>
    </row>
    <row r="50" spans="1:12" ht="18.75" x14ac:dyDescent="0.3">
      <c r="C50" s="302" t="s">
        <v>82</v>
      </c>
      <c r="D50" s="349">
        <f>AVERAGE(E38:E41,G38:G41)</f>
        <v>159594222.04036233</v>
      </c>
      <c r="F50" s="350"/>
      <c r="H50" s="330"/>
    </row>
    <row r="51" spans="1:12" ht="18.75" x14ac:dyDescent="0.3">
      <c r="C51" s="304" t="s">
        <v>83</v>
      </c>
      <c r="D51" s="351">
        <f>STDEV(E38:E41,G38:G41)/D50</f>
        <v>1.1416025811954052E-2</v>
      </c>
      <c r="F51" s="350"/>
      <c r="H51" s="330"/>
    </row>
    <row r="52" spans="1:12" ht="19.5" customHeight="1" x14ac:dyDescent="0.3">
      <c r="C52" s="352" t="s">
        <v>20</v>
      </c>
      <c r="D52" s="353">
        <f>COUNT(E38:E41,G38:G41)</f>
        <v>6</v>
      </c>
      <c r="F52" s="350"/>
    </row>
    <row r="54" spans="1:12" ht="18.75" x14ac:dyDescent="0.3">
      <c r="A54" s="354" t="s">
        <v>1</v>
      </c>
      <c r="B54" s="355" t="s">
        <v>84</v>
      </c>
    </row>
    <row r="55" spans="1:12" ht="18.75" x14ac:dyDescent="0.3">
      <c r="A55" s="279" t="s">
        <v>85</v>
      </c>
      <c r="B55" s="356" t="str">
        <f>B21</f>
        <v>Each contains artemer 20 mg and lumefantrine 120 mg</v>
      </c>
    </row>
    <row r="56" spans="1:12" ht="26.25" customHeight="1" x14ac:dyDescent="0.4">
      <c r="A56" s="357" t="s">
        <v>86</v>
      </c>
      <c r="B56" s="358">
        <v>120</v>
      </c>
      <c r="C56" s="279" t="str">
        <f>B20</f>
        <v>Artemether 20mg, Lumefantrine 120mg</v>
      </c>
      <c r="H56" s="359"/>
    </row>
    <row r="57" spans="1:12" ht="18.75" x14ac:dyDescent="0.3">
      <c r="A57" s="356" t="s">
        <v>87</v>
      </c>
      <c r="B57" s="427">
        <v>211.815</v>
      </c>
      <c r="H57" s="359"/>
    </row>
    <row r="58" spans="1:12" ht="19.5" customHeight="1" x14ac:dyDescent="0.3">
      <c r="H58" s="359"/>
    </row>
    <row r="59" spans="1:12" s="14" customFormat="1" ht="27" customHeight="1" x14ac:dyDescent="0.4">
      <c r="A59" s="302" t="s">
        <v>123</v>
      </c>
      <c r="B59" s="303">
        <v>100</v>
      </c>
      <c r="C59" s="279"/>
      <c r="D59" s="360" t="s">
        <v>89</v>
      </c>
      <c r="E59" s="361" t="s">
        <v>90</v>
      </c>
      <c r="F59" s="361" t="s">
        <v>63</v>
      </c>
      <c r="G59" s="361" t="s">
        <v>91</v>
      </c>
      <c r="H59" s="306" t="s">
        <v>92</v>
      </c>
      <c r="L59" s="292"/>
    </row>
    <row r="60" spans="1:12" s="14" customFormat="1" ht="26.25" customHeight="1" x14ac:dyDescent="0.4">
      <c r="A60" s="304" t="s">
        <v>124</v>
      </c>
      <c r="B60" s="305">
        <v>3</v>
      </c>
      <c r="C60" s="501" t="s">
        <v>94</v>
      </c>
      <c r="D60" s="505">
        <v>95.03</v>
      </c>
      <c r="E60" s="362">
        <v>1</v>
      </c>
      <c r="F60" s="363">
        <v>8756925</v>
      </c>
      <c r="G60" s="428">
        <f>IF(ISBLANK(F60),"-",(F60/$D$50*$D$47*$B$68)*($B$57/$D$60))</f>
        <v>122.3011241348942</v>
      </c>
      <c r="H60" s="446">
        <f t="shared" ref="H60:H71" si="0">IF(ISBLANK(F60),"-",(G60/$B$56)*100)</f>
        <v>101.91760344574516</v>
      </c>
      <c r="L60" s="292"/>
    </row>
    <row r="61" spans="1:12" s="14" customFormat="1" ht="26.25" customHeight="1" x14ac:dyDescent="0.4">
      <c r="A61" s="304" t="s">
        <v>95</v>
      </c>
      <c r="B61" s="305">
        <v>25</v>
      </c>
      <c r="C61" s="502"/>
      <c r="D61" s="506"/>
      <c r="E61" s="364">
        <v>2</v>
      </c>
      <c r="F61" s="317">
        <v>8632927</v>
      </c>
      <c r="G61" s="429">
        <f>IF(ISBLANK(F61),"-",(F61/$D$50*$D$47*$B$68)*($B$57/$D$60))</f>
        <v>120.56934102718476</v>
      </c>
      <c r="H61" s="447">
        <f t="shared" si="0"/>
        <v>100.4744508559873</v>
      </c>
      <c r="L61" s="292"/>
    </row>
    <row r="62" spans="1:12" s="14" customFormat="1" ht="26.25" customHeight="1" x14ac:dyDescent="0.4">
      <c r="A62" s="304" t="s">
        <v>96</v>
      </c>
      <c r="B62" s="305">
        <v>1</v>
      </c>
      <c r="C62" s="502"/>
      <c r="D62" s="506"/>
      <c r="E62" s="364">
        <v>3</v>
      </c>
      <c r="F62" s="365">
        <v>8758610</v>
      </c>
      <c r="G62" s="429">
        <f>IF(ISBLANK(F62),"-",(F62/$D$50*$D$47*$B$68)*($B$57/$D$60))</f>
        <v>122.32465721233488</v>
      </c>
      <c r="H62" s="447">
        <f t="shared" si="0"/>
        <v>101.9372143436124</v>
      </c>
      <c r="L62" s="292"/>
    </row>
    <row r="63" spans="1:12" ht="27" customHeight="1" x14ac:dyDescent="0.4">
      <c r="A63" s="304" t="s">
        <v>97</v>
      </c>
      <c r="B63" s="305">
        <v>1</v>
      </c>
      <c r="C63" s="504"/>
      <c r="D63" s="507"/>
      <c r="E63" s="366">
        <v>4</v>
      </c>
      <c r="F63" s="367"/>
      <c r="G63" s="429" t="str">
        <f>IF(ISBLANK(F63),"-",(F63/$D$50*$D$47*$B$68)*($B$57/$D$60))</f>
        <v>-</v>
      </c>
      <c r="H63" s="447" t="str">
        <f t="shared" si="0"/>
        <v>-</v>
      </c>
    </row>
    <row r="64" spans="1:12" ht="26.25" customHeight="1" x14ac:dyDescent="0.4">
      <c r="A64" s="304" t="s">
        <v>98</v>
      </c>
      <c r="B64" s="305">
        <v>1</v>
      </c>
      <c r="C64" s="501" t="s">
        <v>99</v>
      </c>
      <c r="D64" s="505">
        <v>89</v>
      </c>
      <c r="E64" s="362">
        <v>1</v>
      </c>
      <c r="F64" s="363">
        <v>8122092</v>
      </c>
      <c r="G64" s="428">
        <f>IF(ISBLANK(F64),"-",(F64/$D$50*$D$47*$B$68)*($B$57/$D$64))</f>
        <v>121.12044167744321</v>
      </c>
      <c r="H64" s="446">
        <f t="shared" si="0"/>
        <v>100.93370139786934</v>
      </c>
    </row>
    <row r="65" spans="1:8" ht="26.25" customHeight="1" x14ac:dyDescent="0.4">
      <c r="A65" s="304" t="s">
        <v>100</v>
      </c>
      <c r="B65" s="305">
        <v>1</v>
      </c>
      <c r="C65" s="502"/>
      <c r="D65" s="506"/>
      <c r="E65" s="364">
        <v>2</v>
      </c>
      <c r="F65" s="317">
        <v>8138238</v>
      </c>
      <c r="G65" s="429">
        <f>IF(ISBLANK(F65),"-",(F65/$D$50*$D$47*$B$68)*($B$57/$D$64))</f>
        <v>121.36121839498399</v>
      </c>
      <c r="H65" s="447">
        <f t="shared" si="0"/>
        <v>101.13434866248664</v>
      </c>
    </row>
    <row r="66" spans="1:8" ht="26.25" customHeight="1" x14ac:dyDescent="0.4">
      <c r="A66" s="304" t="s">
        <v>101</v>
      </c>
      <c r="B66" s="305">
        <v>1</v>
      </c>
      <c r="C66" s="502"/>
      <c r="D66" s="506"/>
      <c r="E66" s="364">
        <v>3</v>
      </c>
      <c r="F66" s="317">
        <v>8089063</v>
      </c>
      <c r="G66" s="429">
        <f>IF(ISBLANK(F66),"-",(F66/$D$50*$D$47*$B$68)*($B$57/$D$64))</f>
        <v>120.6278977530252</v>
      </c>
      <c r="H66" s="447">
        <f t="shared" si="0"/>
        <v>100.523248127521</v>
      </c>
    </row>
    <row r="67" spans="1:8" ht="27" customHeight="1" x14ac:dyDescent="0.4">
      <c r="A67" s="304" t="s">
        <v>102</v>
      </c>
      <c r="B67" s="305">
        <v>1</v>
      </c>
      <c r="C67" s="504"/>
      <c r="D67" s="507"/>
      <c r="E67" s="366">
        <v>4</v>
      </c>
      <c r="F67" s="367"/>
      <c r="G67" s="445" t="str">
        <f>IF(ISBLANK(F67),"-",(F67/$D$50*$D$47*$B$68)*($B$57/$D$64))</f>
        <v>-</v>
      </c>
      <c r="H67" s="448" t="str">
        <f t="shared" si="0"/>
        <v>-</v>
      </c>
    </row>
    <row r="68" spans="1:8" ht="26.25" customHeight="1" x14ac:dyDescent="0.4">
      <c r="A68" s="304" t="s">
        <v>103</v>
      </c>
      <c r="B68" s="368">
        <f>(B67/B66)*(B65/B64)*(B63/B62)*(B61/B60)*B59</f>
        <v>833.33333333333337</v>
      </c>
      <c r="C68" s="501" t="s">
        <v>104</v>
      </c>
      <c r="D68" s="505">
        <v>86.08</v>
      </c>
      <c r="E68" s="362">
        <v>1</v>
      </c>
      <c r="F68" s="363">
        <v>7837517</v>
      </c>
      <c r="G68" s="428">
        <f>IF(ISBLANK(F68),"-",(F68/$D$50*$D$47*$B$68)*($B$57/$D$68))</f>
        <v>120.84141041035205</v>
      </c>
      <c r="H68" s="447">
        <f t="shared" si="0"/>
        <v>100.70117534196004</v>
      </c>
    </row>
    <row r="69" spans="1:8" ht="27" customHeight="1" x14ac:dyDescent="0.4">
      <c r="A69" s="352" t="s">
        <v>105</v>
      </c>
      <c r="B69" s="369">
        <f>(D47*B68)/B56*B57</f>
        <v>1765.125</v>
      </c>
      <c r="C69" s="502"/>
      <c r="D69" s="506"/>
      <c r="E69" s="364">
        <v>2</v>
      </c>
      <c r="F69" s="317">
        <v>7834775</v>
      </c>
      <c r="G69" s="429">
        <f>IF(ISBLANK(F69),"-",(F69/$D$50*$D$47*$B$68)*($B$57/$D$68))</f>
        <v>120.79913335406685</v>
      </c>
      <c r="H69" s="447">
        <f t="shared" si="0"/>
        <v>100.66594446172236</v>
      </c>
    </row>
    <row r="70" spans="1:8" ht="26.25" customHeight="1" x14ac:dyDescent="0.4">
      <c r="A70" s="494" t="s">
        <v>77</v>
      </c>
      <c r="B70" s="495"/>
      <c r="C70" s="502"/>
      <c r="D70" s="506"/>
      <c r="E70" s="364">
        <v>3</v>
      </c>
      <c r="F70" s="317">
        <v>7840393</v>
      </c>
      <c r="G70" s="429">
        <f>IF(ISBLANK(F70),"-",(F70/$D$50*$D$47*$B$68)*($B$57/$D$68))</f>
        <v>120.88575352263368</v>
      </c>
      <c r="H70" s="447">
        <f t="shared" si="0"/>
        <v>100.73812793552806</v>
      </c>
    </row>
    <row r="71" spans="1:8" ht="27" customHeight="1" x14ac:dyDescent="0.4">
      <c r="A71" s="496"/>
      <c r="B71" s="497"/>
      <c r="C71" s="503"/>
      <c r="D71" s="507"/>
      <c r="E71" s="366">
        <v>4</v>
      </c>
      <c r="F71" s="367"/>
      <c r="G71" s="445" t="str">
        <f>IF(ISBLANK(F71),"-",(F71/$D$50*$D$47*$B$68)*($B$57/$D$68))</f>
        <v>-</v>
      </c>
      <c r="H71" s="448" t="str">
        <f t="shared" si="0"/>
        <v>-</v>
      </c>
    </row>
    <row r="72" spans="1:8" ht="26.25" customHeight="1" x14ac:dyDescent="0.4">
      <c r="A72" s="370"/>
      <c r="B72" s="370"/>
      <c r="C72" s="370"/>
      <c r="D72" s="370"/>
      <c r="E72" s="370"/>
      <c r="F72" s="372" t="s">
        <v>70</v>
      </c>
      <c r="G72" s="434">
        <f>AVERAGE(G60:G71)</f>
        <v>121.20344194299099</v>
      </c>
      <c r="H72" s="449">
        <f>AVERAGE(H60:H71)</f>
        <v>101.00286828582581</v>
      </c>
    </row>
    <row r="73" spans="1:8" ht="26.25" customHeight="1" x14ac:dyDescent="0.4">
      <c r="C73" s="370"/>
      <c r="D73" s="370"/>
      <c r="E73" s="370"/>
      <c r="F73" s="373" t="s">
        <v>83</v>
      </c>
      <c r="G73" s="433">
        <f>STDEV(G60:G71)/G72</f>
        <v>5.5520143653254488E-3</v>
      </c>
      <c r="H73" s="433">
        <f>STDEV(H60:H71)/H72</f>
        <v>5.5520143653254419E-3</v>
      </c>
    </row>
    <row r="74" spans="1:8" ht="27" customHeight="1" x14ac:dyDescent="0.4">
      <c r="A74" s="370"/>
      <c r="B74" s="370"/>
      <c r="C74" s="371"/>
      <c r="D74" s="371"/>
      <c r="E74" s="374"/>
      <c r="F74" s="375" t="s">
        <v>20</v>
      </c>
      <c r="G74" s="376">
        <f>COUNT(G60:G71)</f>
        <v>9</v>
      </c>
      <c r="H74" s="376">
        <f>COUNT(H60:H71)</f>
        <v>9</v>
      </c>
    </row>
    <row r="76" spans="1:8" ht="26.25" customHeight="1" x14ac:dyDescent="0.4">
      <c r="A76" s="288" t="s">
        <v>125</v>
      </c>
      <c r="B76" s="377" t="s">
        <v>126</v>
      </c>
      <c r="C76" s="498" t="str">
        <f>B26</f>
        <v>Lumefantrine</v>
      </c>
      <c r="D76" s="498"/>
      <c r="E76" s="378" t="s">
        <v>127</v>
      </c>
      <c r="F76" s="378"/>
      <c r="G76" s="462">
        <f>H72</f>
        <v>101.00286828582581</v>
      </c>
      <c r="H76" s="380"/>
    </row>
    <row r="77" spans="1:8" ht="18.75" x14ac:dyDescent="0.3">
      <c r="A77" s="287" t="s">
        <v>128</v>
      </c>
      <c r="B77" s="287" t="s">
        <v>129</v>
      </c>
    </row>
    <row r="78" spans="1:8" ht="18.75" x14ac:dyDescent="0.3">
      <c r="A78" s="287"/>
      <c r="B78" s="287"/>
    </row>
    <row r="79" spans="1:8" ht="26.25" customHeight="1" x14ac:dyDescent="0.4">
      <c r="A79" s="288" t="s">
        <v>4</v>
      </c>
      <c r="B79" s="519" t="str">
        <f>B26</f>
        <v>Lumefantrine</v>
      </c>
      <c r="C79" s="519"/>
    </row>
    <row r="80" spans="1:8" ht="26.25" customHeight="1" x14ac:dyDescent="0.4">
      <c r="A80" s="289" t="s">
        <v>48</v>
      </c>
      <c r="B80" s="519" t="str">
        <f>B27</f>
        <v>WS/14/046</v>
      </c>
      <c r="C80" s="519"/>
    </row>
    <row r="81" spans="1:12" ht="27" customHeight="1" x14ac:dyDescent="0.4">
      <c r="A81" s="289" t="s">
        <v>6</v>
      </c>
      <c r="B81" s="381">
        <f>B28</f>
        <v>100.2</v>
      </c>
    </row>
    <row r="82" spans="1:12" s="14" customFormat="1" ht="27" customHeight="1" x14ac:dyDescent="0.4">
      <c r="A82" s="289" t="s">
        <v>49</v>
      </c>
      <c r="B82" s="291">
        <v>0</v>
      </c>
      <c r="C82" s="491" t="s">
        <v>50</v>
      </c>
      <c r="D82" s="492"/>
      <c r="E82" s="492"/>
      <c r="F82" s="492"/>
      <c r="G82" s="493"/>
      <c r="I82" s="292"/>
      <c r="J82" s="292"/>
      <c r="K82" s="292"/>
      <c r="L82" s="292"/>
    </row>
    <row r="83" spans="1:12" s="14" customFormat="1" ht="19.5" customHeight="1" x14ac:dyDescent="0.3">
      <c r="A83" s="289" t="s">
        <v>51</v>
      </c>
      <c r="B83" s="293">
        <f>B81-B82</f>
        <v>100.2</v>
      </c>
      <c r="C83" s="294"/>
      <c r="D83" s="294"/>
      <c r="E83" s="294"/>
      <c r="F83" s="294"/>
      <c r="G83" s="295"/>
      <c r="I83" s="292"/>
      <c r="J83" s="292"/>
      <c r="K83" s="292"/>
      <c r="L83" s="292"/>
    </row>
    <row r="84" spans="1:12" s="14" customFormat="1" ht="27" customHeight="1" x14ac:dyDescent="0.4">
      <c r="A84" s="289" t="s">
        <v>52</v>
      </c>
      <c r="B84" s="296">
        <v>1</v>
      </c>
      <c r="C84" s="481" t="s">
        <v>130</v>
      </c>
      <c r="D84" s="482"/>
      <c r="E84" s="482"/>
      <c r="F84" s="482"/>
      <c r="G84" s="482"/>
      <c r="H84" s="483"/>
      <c r="I84" s="292"/>
      <c r="J84" s="292"/>
      <c r="K84" s="292"/>
      <c r="L84" s="292"/>
    </row>
    <row r="85" spans="1:12" s="14" customFormat="1" ht="27" customHeight="1" x14ac:dyDescent="0.4">
      <c r="A85" s="289" t="s">
        <v>54</v>
      </c>
      <c r="B85" s="296">
        <v>1</v>
      </c>
      <c r="C85" s="481" t="s">
        <v>131</v>
      </c>
      <c r="D85" s="482"/>
      <c r="E85" s="482"/>
      <c r="F85" s="482"/>
      <c r="G85" s="482"/>
      <c r="H85" s="483"/>
      <c r="I85" s="292"/>
      <c r="J85" s="292"/>
      <c r="K85" s="292"/>
      <c r="L85" s="292"/>
    </row>
    <row r="86" spans="1:12" s="14" customFormat="1" ht="18.75" x14ac:dyDescent="0.3">
      <c r="A86" s="289"/>
      <c r="B86" s="299"/>
      <c r="C86" s="300"/>
      <c r="D86" s="300"/>
      <c r="E86" s="300"/>
      <c r="F86" s="300"/>
      <c r="G86" s="300"/>
      <c r="H86" s="300"/>
      <c r="I86" s="292"/>
      <c r="J86" s="292"/>
      <c r="K86" s="292"/>
      <c r="L86" s="292"/>
    </row>
    <row r="87" spans="1:12" s="14" customFormat="1" ht="18.75" x14ac:dyDescent="0.3">
      <c r="A87" s="289" t="s">
        <v>56</v>
      </c>
      <c r="B87" s="301">
        <f>B84/B85</f>
        <v>1</v>
      </c>
      <c r="C87" s="279" t="s">
        <v>57</v>
      </c>
      <c r="D87" s="279"/>
      <c r="E87" s="279"/>
      <c r="F87" s="279"/>
      <c r="G87" s="279"/>
      <c r="I87" s="292"/>
      <c r="J87" s="292"/>
      <c r="K87" s="292"/>
      <c r="L87" s="292"/>
    </row>
    <row r="88" spans="1:12" ht="19.5" customHeight="1" x14ac:dyDescent="0.3">
      <c r="A88" s="287"/>
      <c r="B88" s="287"/>
    </row>
    <row r="89" spans="1:12" ht="27" customHeight="1" x14ac:dyDescent="0.4">
      <c r="A89" s="302" t="s">
        <v>118</v>
      </c>
      <c r="B89" s="303">
        <v>50</v>
      </c>
      <c r="D89" s="382" t="s">
        <v>59</v>
      </c>
      <c r="E89" s="383"/>
      <c r="F89" s="499" t="s">
        <v>60</v>
      </c>
      <c r="G89" s="500"/>
    </row>
    <row r="90" spans="1:12" ht="27" customHeight="1" x14ac:dyDescent="0.4">
      <c r="A90" s="304" t="s">
        <v>61</v>
      </c>
      <c r="B90" s="305">
        <v>5</v>
      </c>
      <c r="C90" s="384" t="s">
        <v>90</v>
      </c>
      <c r="D90" s="307" t="s">
        <v>63</v>
      </c>
      <c r="E90" s="308" t="s">
        <v>64</v>
      </c>
      <c r="F90" s="307" t="s">
        <v>63</v>
      </c>
      <c r="G90" s="385" t="s">
        <v>64</v>
      </c>
      <c r="I90" s="310" t="s">
        <v>119</v>
      </c>
    </row>
    <row r="91" spans="1:12" ht="26.25" customHeight="1" x14ac:dyDescent="0.4">
      <c r="A91" s="304" t="s">
        <v>65</v>
      </c>
      <c r="B91" s="305">
        <v>100</v>
      </c>
      <c r="C91" s="386">
        <v>1</v>
      </c>
      <c r="D91" s="312">
        <v>0.77449999999999997</v>
      </c>
      <c r="E91" s="313">
        <f>IF(ISBLANK(D91),"-",$D$101/$D$98*D91)</f>
        <v>0.68201831630855936</v>
      </c>
      <c r="F91" s="312">
        <v>0.67220000000000002</v>
      </c>
      <c r="G91" s="314">
        <f>IF(ISBLANK(F91),"-",$D$101/$F$98*F91)</f>
        <v>0.69669402000844705</v>
      </c>
      <c r="I91" s="315"/>
    </row>
    <row r="92" spans="1:12" ht="26.25" customHeight="1" x14ac:dyDescent="0.4">
      <c r="A92" s="304" t="s">
        <v>66</v>
      </c>
      <c r="B92" s="305">
        <v>1</v>
      </c>
      <c r="C92" s="371">
        <v>2</v>
      </c>
      <c r="D92" s="317">
        <v>0.78859999999999997</v>
      </c>
      <c r="E92" s="318">
        <f>IF(ISBLANK(D92),"-",$D$101/$D$98*D92)</f>
        <v>0.6944346600915815</v>
      </c>
      <c r="F92" s="317">
        <v>0.6734</v>
      </c>
      <c r="G92" s="319">
        <f>IF(ISBLANK(F92),"-",$D$101/$F$98*F92)</f>
        <v>0.69793774631610861</v>
      </c>
      <c r="I92" s="520">
        <f>ABS((F96/D96*D95)-F95)/D95</f>
        <v>9.3518226586195696E-3</v>
      </c>
    </row>
    <row r="93" spans="1:12" ht="26.25" customHeight="1" x14ac:dyDescent="0.4">
      <c r="A93" s="304" t="s">
        <v>67</v>
      </c>
      <c r="B93" s="305">
        <v>1</v>
      </c>
      <c r="C93" s="371">
        <v>3</v>
      </c>
      <c r="D93" s="317">
        <v>0.78769999999999996</v>
      </c>
      <c r="E93" s="318">
        <f>IF(ISBLANK(D93),"-",$D$101/$D$98*D93)</f>
        <v>0.69364212750968646</v>
      </c>
      <c r="F93" s="317">
        <v>0.67369999999999997</v>
      </c>
      <c r="G93" s="319">
        <f>IF(ISBLANK(F93),"-",$D$101/$F$98*F93)</f>
        <v>0.69824867789302403</v>
      </c>
      <c r="I93" s="520"/>
    </row>
    <row r="94" spans="1:12" ht="27" customHeight="1" x14ac:dyDescent="0.4">
      <c r="A94" s="304" t="s">
        <v>68</v>
      </c>
      <c r="B94" s="305">
        <v>1</v>
      </c>
      <c r="C94" s="387">
        <v>4</v>
      </c>
      <c r="D94" s="322"/>
      <c r="E94" s="323" t="str">
        <f>IF(ISBLANK(D94),"-",$D$101/$D$98*D94)</f>
        <v>-</v>
      </c>
      <c r="F94" s="388"/>
      <c r="G94" s="324" t="str">
        <f>IF(ISBLANK(F94),"-",$D$101/$F$98*F94)</f>
        <v>-</v>
      </c>
      <c r="I94" s="325"/>
    </row>
    <row r="95" spans="1:12" ht="27" customHeight="1" x14ac:dyDescent="0.4">
      <c r="A95" s="304" t="s">
        <v>69</v>
      </c>
      <c r="B95" s="305">
        <v>1</v>
      </c>
      <c r="C95" s="389" t="s">
        <v>70</v>
      </c>
      <c r="D95" s="390">
        <f>AVERAGE(D91:D94)</f>
        <v>0.78359999999999996</v>
      </c>
      <c r="E95" s="328">
        <f>AVERAGE(E91:E94)</f>
        <v>0.69003170130327574</v>
      </c>
      <c r="F95" s="391">
        <f>AVERAGE(F91:F94)</f>
        <v>0.67310000000000014</v>
      </c>
      <c r="G95" s="392">
        <f>AVERAGE(G91:G94)</f>
        <v>0.69762681473919319</v>
      </c>
    </row>
    <row r="96" spans="1:12" ht="26.25" customHeight="1" x14ac:dyDescent="0.4">
      <c r="A96" s="304" t="s">
        <v>71</v>
      </c>
      <c r="B96" s="290">
        <v>1</v>
      </c>
      <c r="C96" s="393" t="s">
        <v>72</v>
      </c>
      <c r="D96" s="394">
        <v>27.2</v>
      </c>
      <c r="E96" s="320"/>
      <c r="F96" s="332">
        <v>23.11</v>
      </c>
    </row>
    <row r="97" spans="1:10" ht="26.25" customHeight="1" x14ac:dyDescent="0.4">
      <c r="A97" s="304" t="s">
        <v>73</v>
      </c>
      <c r="B97" s="290">
        <v>1</v>
      </c>
      <c r="C97" s="395" t="s">
        <v>74</v>
      </c>
      <c r="D97" s="396">
        <f>D96*$B$87</f>
        <v>27.2</v>
      </c>
      <c r="E97" s="335"/>
      <c r="F97" s="334">
        <f>F96*$B$87</f>
        <v>23.11</v>
      </c>
    </row>
    <row r="98" spans="1:10" ht="19.5" customHeight="1" x14ac:dyDescent="0.3">
      <c r="A98" s="304" t="s">
        <v>75</v>
      </c>
      <c r="B98" s="397">
        <f>(B97/B96)*(B95/B94)*(B93/B92)*(B91/B90)*B89</f>
        <v>1000</v>
      </c>
      <c r="C98" s="395" t="s">
        <v>132</v>
      </c>
      <c r="D98" s="398">
        <f>D97*$B$83/100</f>
        <v>27.2544</v>
      </c>
      <c r="E98" s="338"/>
      <c r="F98" s="337">
        <f>F97*$B$83/100</f>
        <v>23.156219999999998</v>
      </c>
    </row>
    <row r="99" spans="1:10" ht="19.5" customHeight="1" x14ac:dyDescent="0.3">
      <c r="A99" s="485" t="s">
        <v>77</v>
      </c>
      <c r="B99" s="486"/>
      <c r="C99" s="395" t="s">
        <v>133</v>
      </c>
      <c r="D99" s="399">
        <f>D98/$B$98</f>
        <v>2.7254400000000002E-2</v>
      </c>
      <c r="E99" s="338"/>
      <c r="F99" s="341">
        <f>F98/$B$98</f>
        <v>2.3156219999999998E-2</v>
      </c>
      <c r="G99" s="400"/>
      <c r="H99" s="330"/>
    </row>
    <row r="100" spans="1:10" ht="19.5" customHeight="1" x14ac:dyDescent="0.3">
      <c r="A100" s="487"/>
      <c r="B100" s="488"/>
      <c r="C100" s="395" t="s">
        <v>122</v>
      </c>
      <c r="D100" s="401">
        <f>$B$56/$B$116</f>
        <v>2.4E-2</v>
      </c>
      <c r="F100" s="346"/>
      <c r="G100" s="402"/>
      <c r="H100" s="330"/>
    </row>
    <row r="101" spans="1:10" ht="18.75" x14ac:dyDescent="0.3">
      <c r="C101" s="395" t="s">
        <v>80</v>
      </c>
      <c r="D101" s="396">
        <f>D100*$B$98</f>
        <v>24</v>
      </c>
      <c r="F101" s="346"/>
      <c r="G101" s="400"/>
      <c r="H101" s="330"/>
    </row>
    <row r="102" spans="1:10" ht="19.5" customHeight="1" x14ac:dyDescent="0.3">
      <c r="C102" s="403" t="s">
        <v>81</v>
      </c>
      <c r="D102" s="404">
        <f>D101/B34</f>
        <v>24</v>
      </c>
      <c r="F102" s="350"/>
      <c r="G102" s="400"/>
      <c r="H102" s="330"/>
      <c r="J102" s="405"/>
    </row>
    <row r="103" spans="1:10" ht="18.75" x14ac:dyDescent="0.3">
      <c r="C103" s="406" t="s">
        <v>134</v>
      </c>
      <c r="D103" s="407">
        <f>AVERAGE(E91:E94,G91:G94)</f>
        <v>0.69382925802123452</v>
      </c>
      <c r="F103" s="350"/>
      <c r="G103" s="408"/>
      <c r="H103" s="330"/>
      <c r="J103" s="409"/>
    </row>
    <row r="104" spans="1:10" ht="18.75" x14ac:dyDescent="0.3">
      <c r="C104" s="373" t="s">
        <v>83</v>
      </c>
      <c r="D104" s="410">
        <f>STDEV(E91:E94,G91:G94)/D103</f>
        <v>8.7555087101878967E-3</v>
      </c>
      <c r="F104" s="350"/>
      <c r="G104" s="400"/>
      <c r="H104" s="330"/>
      <c r="J104" s="409"/>
    </row>
    <row r="105" spans="1:10" ht="19.5" customHeight="1" x14ac:dyDescent="0.3">
      <c r="C105" s="375" t="s">
        <v>20</v>
      </c>
      <c r="D105" s="411">
        <f>COUNT(E91:E94,G91:G94)</f>
        <v>6</v>
      </c>
      <c r="F105" s="350"/>
      <c r="G105" s="400"/>
      <c r="H105" s="330"/>
      <c r="J105" s="409"/>
    </row>
    <row r="106" spans="1:10" ht="19.5" customHeight="1" x14ac:dyDescent="0.3">
      <c r="A106" s="354"/>
      <c r="B106" s="354"/>
      <c r="C106" s="354"/>
      <c r="D106" s="354"/>
      <c r="E106" s="354"/>
    </row>
    <row r="107" spans="1:10" ht="27" customHeight="1" x14ac:dyDescent="0.4">
      <c r="A107" s="302" t="s">
        <v>112</v>
      </c>
      <c r="B107" s="303">
        <v>1000</v>
      </c>
      <c r="C107" s="450" t="s">
        <v>135</v>
      </c>
      <c r="D107" s="450" t="s">
        <v>63</v>
      </c>
      <c r="E107" s="450" t="s">
        <v>114</v>
      </c>
      <c r="F107" s="412" t="s">
        <v>115</v>
      </c>
    </row>
    <row r="108" spans="1:10" ht="26.25" customHeight="1" x14ac:dyDescent="0.4">
      <c r="A108" s="304" t="s">
        <v>93</v>
      </c>
      <c r="B108" s="305">
        <v>10</v>
      </c>
      <c r="C108" s="453">
        <v>1</v>
      </c>
      <c r="D108" s="463">
        <v>0.74880000000000002</v>
      </c>
      <c r="E108" s="430">
        <f t="shared" ref="E108:E113" si="1">IF(ISBLANK(D108),"-",D108/$D$103*$D$100*$B$116)</f>
        <v>129.50736648994121</v>
      </c>
      <c r="F108" s="454">
        <f t="shared" ref="F108:F113" si="2">IF(ISBLANK(D108), "-", (E108/$B$56)*100)</f>
        <v>107.92280540828433</v>
      </c>
    </row>
    <row r="109" spans="1:10" ht="26.25" customHeight="1" x14ac:dyDescent="0.4">
      <c r="A109" s="304" t="s">
        <v>95</v>
      </c>
      <c r="B109" s="305">
        <v>50</v>
      </c>
      <c r="C109" s="451">
        <v>2</v>
      </c>
      <c r="D109" s="464">
        <v>0.70209999999999995</v>
      </c>
      <c r="E109" s="431">
        <f t="shared" si="1"/>
        <v>121.43045140569939</v>
      </c>
      <c r="F109" s="455">
        <f t="shared" si="2"/>
        <v>101.19204283808283</v>
      </c>
    </row>
    <row r="110" spans="1:10" ht="26.25" customHeight="1" x14ac:dyDescent="0.4">
      <c r="A110" s="304" t="s">
        <v>96</v>
      </c>
      <c r="B110" s="305">
        <v>1</v>
      </c>
      <c r="C110" s="451">
        <v>3</v>
      </c>
      <c r="D110" s="464">
        <v>0.63919999999999999</v>
      </c>
      <c r="E110" s="431">
        <f t="shared" si="1"/>
        <v>110.55169425797331</v>
      </c>
      <c r="F110" s="455">
        <f t="shared" si="2"/>
        <v>92.126411881644415</v>
      </c>
    </row>
    <row r="111" spans="1:10" ht="26.25" customHeight="1" x14ac:dyDescent="0.4">
      <c r="A111" s="304" t="s">
        <v>97</v>
      </c>
      <c r="B111" s="305">
        <v>1</v>
      </c>
      <c r="C111" s="451">
        <v>4</v>
      </c>
      <c r="D111" s="464">
        <v>0.71540000000000004</v>
      </c>
      <c r="E111" s="431">
        <f t="shared" si="1"/>
        <v>123.73072914917729</v>
      </c>
      <c r="F111" s="455">
        <f t="shared" si="2"/>
        <v>103.10894095764776</v>
      </c>
    </row>
    <row r="112" spans="1:10" ht="26.25" customHeight="1" x14ac:dyDescent="0.4">
      <c r="A112" s="304" t="s">
        <v>98</v>
      </c>
      <c r="B112" s="305">
        <v>1</v>
      </c>
      <c r="C112" s="451">
        <v>5</v>
      </c>
      <c r="D112" s="464">
        <v>0.63380000000000003</v>
      </c>
      <c r="E112" s="431">
        <f t="shared" si="1"/>
        <v>109.61774690347856</v>
      </c>
      <c r="F112" s="455">
        <f t="shared" si="2"/>
        <v>91.34812241956547</v>
      </c>
    </row>
    <row r="113" spans="1:10" ht="27" customHeight="1" x14ac:dyDescent="0.4">
      <c r="A113" s="304" t="s">
        <v>100</v>
      </c>
      <c r="B113" s="305">
        <v>1</v>
      </c>
      <c r="C113" s="452">
        <v>6</v>
      </c>
      <c r="D113" s="465">
        <v>0.65410000000000001</v>
      </c>
      <c r="E113" s="432">
        <f t="shared" si="1"/>
        <v>113.12869714352371</v>
      </c>
      <c r="F113" s="456">
        <f t="shared" si="2"/>
        <v>94.273914286269758</v>
      </c>
    </row>
    <row r="114" spans="1:10" ht="27" customHeight="1" x14ac:dyDescent="0.4">
      <c r="A114" s="304" t="s">
        <v>101</v>
      </c>
      <c r="B114" s="305">
        <v>1</v>
      </c>
      <c r="C114" s="413"/>
      <c r="D114" s="371"/>
      <c r="E114" s="278"/>
      <c r="F114" s="457"/>
    </row>
    <row r="115" spans="1:10" ht="26.25" customHeight="1" x14ac:dyDescent="0.4">
      <c r="A115" s="304" t="s">
        <v>102</v>
      </c>
      <c r="B115" s="305">
        <v>1</v>
      </c>
      <c r="C115" s="413"/>
      <c r="D115" s="437" t="s">
        <v>70</v>
      </c>
      <c r="E115" s="439">
        <f>AVERAGE(E108:E113)</f>
        <v>117.99444755829892</v>
      </c>
      <c r="F115" s="458">
        <f>AVERAGE(F108:F113)</f>
        <v>98.328706298582418</v>
      </c>
    </row>
    <row r="116" spans="1:10" ht="27" customHeight="1" x14ac:dyDescent="0.4">
      <c r="A116" s="304" t="s">
        <v>103</v>
      </c>
      <c r="B116" s="336">
        <f>(B115/B114)*(B113/B112)*(B111/B110)*(B109/B108)*B107</f>
        <v>5000</v>
      </c>
      <c r="C116" s="414"/>
      <c r="D116" s="438" t="s">
        <v>83</v>
      </c>
      <c r="E116" s="436">
        <f>STDEV(E108:E113)/E115</f>
        <v>6.8484675531918893E-2</v>
      </c>
      <c r="F116" s="415">
        <f>STDEV(F108:F113)/F115</f>
        <v>6.848467553191892E-2</v>
      </c>
      <c r="I116" s="278"/>
    </row>
    <row r="117" spans="1:10" ht="27" customHeight="1" x14ac:dyDescent="0.4">
      <c r="A117" s="485" t="s">
        <v>77</v>
      </c>
      <c r="B117" s="489"/>
      <c r="C117" s="416"/>
      <c r="D117" s="375" t="s">
        <v>20</v>
      </c>
      <c r="E117" s="441">
        <f>COUNT(E108:E113)</f>
        <v>6</v>
      </c>
      <c r="F117" s="442">
        <f>COUNT(F108:F113)</f>
        <v>6</v>
      </c>
      <c r="I117" s="278"/>
      <c r="J117" s="409"/>
    </row>
    <row r="118" spans="1:10" ht="26.25" customHeight="1" x14ac:dyDescent="0.3">
      <c r="A118" s="487"/>
      <c r="B118" s="490"/>
      <c r="C118" s="278"/>
      <c r="D118" s="440"/>
      <c r="E118" s="510" t="s">
        <v>136</v>
      </c>
      <c r="F118" s="511"/>
      <c r="G118" s="278"/>
      <c r="H118" s="278"/>
      <c r="I118" s="278"/>
    </row>
    <row r="119" spans="1:10" ht="25.5" customHeight="1" x14ac:dyDescent="0.4">
      <c r="A119" s="425"/>
      <c r="B119" s="300"/>
      <c r="C119" s="278"/>
      <c r="D119" s="438" t="s">
        <v>137</v>
      </c>
      <c r="E119" s="443">
        <f>MIN(E108:E113)</f>
        <v>109.61774690347856</v>
      </c>
      <c r="F119" s="459">
        <f>MIN(F108:F113)</f>
        <v>91.34812241956547</v>
      </c>
      <c r="G119" s="278"/>
      <c r="H119" s="278"/>
      <c r="I119" s="278"/>
    </row>
    <row r="120" spans="1:10" ht="24" customHeight="1" x14ac:dyDescent="0.4">
      <c r="A120" s="425"/>
      <c r="B120" s="300"/>
      <c r="C120" s="278"/>
      <c r="D120" s="347" t="s">
        <v>138</v>
      </c>
      <c r="E120" s="444">
        <f>MAX(E108:E113)</f>
        <v>129.50736648994121</v>
      </c>
      <c r="F120" s="460">
        <f>MAX(F108:F113)</f>
        <v>107.92280540828433</v>
      </c>
      <c r="G120" s="278"/>
      <c r="H120" s="278"/>
      <c r="I120" s="278"/>
    </row>
    <row r="121" spans="1:10" ht="27" customHeight="1" x14ac:dyDescent="0.3">
      <c r="A121" s="425"/>
      <c r="B121" s="300"/>
      <c r="C121" s="278"/>
      <c r="D121" s="278"/>
      <c r="E121" s="278"/>
      <c r="F121" s="371"/>
      <c r="G121" s="278"/>
      <c r="H121" s="278"/>
      <c r="I121" s="278"/>
    </row>
    <row r="122" spans="1:10" ht="25.5" customHeight="1" x14ac:dyDescent="0.3">
      <c r="A122" s="425"/>
      <c r="B122" s="300"/>
      <c r="C122" s="278"/>
      <c r="D122" s="278"/>
      <c r="E122" s="278"/>
      <c r="F122" s="371"/>
      <c r="G122" s="278"/>
      <c r="H122" s="278"/>
      <c r="I122" s="278"/>
    </row>
    <row r="123" spans="1:10" ht="18.75" x14ac:dyDescent="0.3">
      <c r="A123" s="425"/>
      <c r="B123" s="300"/>
      <c r="C123" s="278"/>
      <c r="D123" s="278"/>
      <c r="E123" s="278"/>
      <c r="F123" s="371"/>
      <c r="G123" s="278"/>
      <c r="H123" s="278"/>
      <c r="I123" s="278"/>
    </row>
    <row r="124" spans="1:10" ht="45.75" customHeight="1" x14ac:dyDescent="0.65">
      <c r="A124" s="288" t="s">
        <v>125</v>
      </c>
      <c r="B124" s="377" t="s">
        <v>107</v>
      </c>
      <c r="C124" s="498" t="str">
        <f>B26</f>
        <v>Lumefantrine</v>
      </c>
      <c r="D124" s="498"/>
      <c r="E124" s="378" t="s">
        <v>116</v>
      </c>
      <c r="F124" s="378"/>
      <c r="G124" s="461">
        <f>F115</f>
        <v>98.328706298582418</v>
      </c>
      <c r="H124" s="278"/>
      <c r="I124" s="278"/>
    </row>
    <row r="125" spans="1:10" ht="45.75" customHeight="1" x14ac:dyDescent="0.65">
      <c r="A125" s="288"/>
      <c r="B125" s="377" t="s">
        <v>139</v>
      </c>
      <c r="C125" s="289" t="s">
        <v>140</v>
      </c>
      <c r="D125" s="461">
        <f>MIN(F108:F113)</f>
        <v>91.34812241956547</v>
      </c>
      <c r="E125" s="389" t="s">
        <v>141</v>
      </c>
      <c r="F125" s="461">
        <f>MAX(F108:F113)</f>
        <v>107.92280540828433</v>
      </c>
      <c r="G125" s="379"/>
      <c r="H125" s="278"/>
      <c r="I125" s="278"/>
    </row>
    <row r="126" spans="1:10" ht="19.5" customHeight="1" x14ac:dyDescent="0.3">
      <c r="A126" s="417"/>
      <c r="B126" s="417"/>
      <c r="C126" s="418"/>
      <c r="D126" s="418"/>
      <c r="E126" s="418"/>
      <c r="F126" s="418"/>
      <c r="G126" s="418"/>
      <c r="H126" s="418"/>
    </row>
    <row r="127" spans="1:10" ht="18.75" x14ac:dyDescent="0.3">
      <c r="B127" s="509" t="s">
        <v>26</v>
      </c>
      <c r="C127" s="509"/>
      <c r="E127" s="384" t="s">
        <v>27</v>
      </c>
      <c r="F127" s="419"/>
      <c r="G127" s="509" t="s">
        <v>28</v>
      </c>
      <c r="H127" s="509"/>
    </row>
    <row r="128" spans="1:10" ht="69.95" customHeight="1" x14ac:dyDescent="0.3">
      <c r="A128" s="420" t="s">
        <v>29</v>
      </c>
      <c r="B128" s="421"/>
      <c r="C128" s="421"/>
      <c r="E128" s="421"/>
      <c r="F128" s="278"/>
      <c r="G128" s="422"/>
      <c r="H128" s="422"/>
    </row>
    <row r="129" spans="1:9" ht="69.95" customHeight="1" x14ac:dyDescent="0.3">
      <c r="A129" s="420" t="s">
        <v>30</v>
      </c>
      <c r="B129" s="423"/>
      <c r="C129" s="423"/>
      <c r="E129" s="423"/>
      <c r="F129" s="278"/>
      <c r="G129" s="424"/>
      <c r="H129" s="424"/>
    </row>
    <row r="130" spans="1:9" ht="18.75" x14ac:dyDescent="0.3">
      <c r="A130" s="370"/>
      <c r="B130" s="370"/>
      <c r="C130" s="371"/>
      <c r="D130" s="371"/>
      <c r="E130" s="371"/>
      <c r="F130" s="374"/>
      <c r="G130" s="371"/>
      <c r="H130" s="371"/>
      <c r="I130" s="278"/>
    </row>
    <row r="131" spans="1:9" ht="18.75" x14ac:dyDescent="0.3">
      <c r="A131" s="370"/>
      <c r="B131" s="370"/>
      <c r="C131" s="371"/>
      <c r="D131" s="371"/>
      <c r="E131" s="371"/>
      <c r="F131" s="374"/>
      <c r="G131" s="371"/>
      <c r="H131" s="371"/>
      <c r="I131" s="278"/>
    </row>
    <row r="132" spans="1:9" ht="18.75" x14ac:dyDescent="0.3">
      <c r="A132" s="370"/>
      <c r="B132" s="370"/>
      <c r="C132" s="371"/>
      <c r="D132" s="371"/>
      <c r="E132" s="371"/>
      <c r="F132" s="374"/>
      <c r="G132" s="371"/>
      <c r="H132" s="371"/>
      <c r="I132" s="278"/>
    </row>
    <row r="133" spans="1:9" ht="18.75" x14ac:dyDescent="0.3">
      <c r="A133" s="370"/>
      <c r="B133" s="370"/>
      <c r="C133" s="371"/>
      <c r="D133" s="371"/>
      <c r="E133" s="371"/>
      <c r="F133" s="374"/>
      <c r="G133" s="371"/>
      <c r="H133" s="371"/>
      <c r="I133" s="278"/>
    </row>
    <row r="134" spans="1:9" ht="18.75" x14ac:dyDescent="0.3">
      <c r="A134" s="370"/>
      <c r="B134" s="370"/>
      <c r="C134" s="371"/>
      <c r="D134" s="371"/>
      <c r="E134" s="371"/>
      <c r="F134" s="374"/>
      <c r="G134" s="371"/>
      <c r="H134" s="371"/>
      <c r="I134" s="278"/>
    </row>
    <row r="135" spans="1:9" ht="18.75" x14ac:dyDescent="0.3">
      <c r="A135" s="370"/>
      <c r="B135" s="370"/>
      <c r="C135" s="371"/>
      <c r="D135" s="371"/>
      <c r="E135" s="371"/>
      <c r="F135" s="374"/>
      <c r="G135" s="371"/>
      <c r="H135" s="371"/>
      <c r="I135" s="278"/>
    </row>
    <row r="136" spans="1:9" ht="18.75" x14ac:dyDescent="0.3">
      <c r="A136" s="370"/>
      <c r="B136" s="370"/>
      <c r="C136" s="371"/>
      <c r="D136" s="371"/>
      <c r="E136" s="371"/>
      <c r="F136" s="374"/>
      <c r="G136" s="371"/>
      <c r="H136" s="371"/>
      <c r="I136" s="278"/>
    </row>
    <row r="137" spans="1:9" ht="18.75" x14ac:dyDescent="0.3">
      <c r="A137" s="370"/>
      <c r="B137" s="370"/>
      <c r="C137" s="371"/>
      <c r="D137" s="371"/>
      <c r="E137" s="371"/>
      <c r="F137" s="374"/>
      <c r="G137" s="371"/>
      <c r="H137" s="371"/>
      <c r="I137" s="278"/>
    </row>
    <row r="138" spans="1:9" ht="18.75" x14ac:dyDescent="0.3">
      <c r="A138" s="370"/>
      <c r="B138" s="370"/>
      <c r="C138" s="371"/>
      <c r="D138" s="371"/>
      <c r="E138" s="371"/>
      <c r="F138" s="374"/>
      <c r="G138" s="371"/>
      <c r="H138" s="371"/>
      <c r="I138" s="27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57" sqref="C57"/>
    </sheetView>
  </sheetViews>
  <sheetFormatPr defaultRowHeight="13.5" x14ac:dyDescent="0.25"/>
  <cols>
    <col min="1" max="1" width="27.5703125" style="400" customWidth="1"/>
    <col min="2" max="2" width="20.42578125" style="400" customWidth="1"/>
    <col min="3" max="3" width="31.85546875" style="400" customWidth="1"/>
    <col min="4" max="4" width="25.85546875" style="400" customWidth="1"/>
    <col min="5" max="5" width="25.7109375" style="400" customWidth="1"/>
    <col min="6" max="6" width="23.140625" style="400" customWidth="1"/>
    <col min="7" max="7" width="28.42578125" style="400" customWidth="1"/>
    <col min="8" max="8" width="21.5703125" style="400" customWidth="1"/>
    <col min="9" max="9" width="9.140625" style="40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00" t="s">
        <v>143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99.83</v>
      </c>
      <c r="C19" s="72"/>
      <c r="D19" s="72"/>
      <c r="E19" s="72"/>
    </row>
    <row r="20" spans="1:5" ht="16.5" customHeight="1" x14ac:dyDescent="0.3">
      <c r="A20" s="8" t="s">
        <v>8</v>
      </c>
      <c r="B20" s="12">
        <v>15.14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</f>
        <v>1.514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1010436620</v>
      </c>
      <c r="C24" s="18">
        <v>1665.8</v>
      </c>
      <c r="D24" s="19">
        <v>2.9</v>
      </c>
      <c r="E24" s="20">
        <v>7.3</v>
      </c>
    </row>
    <row r="25" spans="1:5" ht="16.5" customHeight="1" x14ac:dyDescent="0.3">
      <c r="A25" s="17">
        <v>2</v>
      </c>
      <c r="B25" s="18">
        <v>1012524588</v>
      </c>
      <c r="C25" s="18">
        <v>1663.5</v>
      </c>
      <c r="D25" s="19">
        <v>2.9</v>
      </c>
      <c r="E25" s="19">
        <v>7.3</v>
      </c>
    </row>
    <row r="26" spans="1:5" ht="16.5" customHeight="1" x14ac:dyDescent="0.3">
      <c r="A26" s="17">
        <v>3</v>
      </c>
      <c r="B26" s="18">
        <v>1011503932</v>
      </c>
      <c r="C26" s="18">
        <v>1661.8</v>
      </c>
      <c r="D26" s="19">
        <v>2.9</v>
      </c>
      <c r="E26" s="19">
        <v>7.3</v>
      </c>
    </row>
    <row r="27" spans="1:5" ht="16.5" customHeight="1" x14ac:dyDescent="0.3">
      <c r="A27" s="17">
        <v>4</v>
      </c>
      <c r="B27" s="18">
        <v>1013161124</v>
      </c>
      <c r="C27" s="18">
        <v>1654.6</v>
      </c>
      <c r="D27" s="19">
        <v>2.9</v>
      </c>
      <c r="E27" s="19">
        <v>7.3</v>
      </c>
    </row>
    <row r="28" spans="1:5" ht="16.5" customHeight="1" x14ac:dyDescent="0.3">
      <c r="A28" s="17">
        <v>5</v>
      </c>
      <c r="B28" s="18">
        <v>1013689491</v>
      </c>
      <c r="C28" s="18">
        <v>1662.2</v>
      </c>
      <c r="D28" s="19">
        <v>2.9</v>
      </c>
      <c r="E28" s="19">
        <v>7.3</v>
      </c>
    </row>
    <row r="29" spans="1:5" ht="16.5" customHeight="1" x14ac:dyDescent="0.3">
      <c r="A29" s="17">
        <v>6</v>
      </c>
      <c r="B29" s="21">
        <v>1015821124</v>
      </c>
      <c r="C29" s="21">
        <v>1657.2</v>
      </c>
      <c r="D29" s="22">
        <v>2.9</v>
      </c>
      <c r="E29" s="22">
        <v>7.3</v>
      </c>
    </row>
    <row r="30" spans="1:5" ht="16.5" customHeight="1" x14ac:dyDescent="0.3">
      <c r="A30" s="23" t="s">
        <v>18</v>
      </c>
      <c r="B30" s="24">
        <f>AVERAGE(B24:B29)</f>
        <v>1012856146.5</v>
      </c>
      <c r="C30" s="25">
        <f>AVERAGE(C24:C29)</f>
        <v>1660.8500000000004</v>
      </c>
      <c r="D30" s="26">
        <f>AVERAGE(D24:D29)</f>
        <v>2.9</v>
      </c>
      <c r="E30" s="26">
        <f>AVERAGE(E24:E29)</f>
        <v>7.3</v>
      </c>
    </row>
    <row r="31" spans="1:5" ht="16.5" customHeight="1" x14ac:dyDescent="0.3">
      <c r="A31" s="27" t="s">
        <v>19</v>
      </c>
      <c r="B31" s="28">
        <f>(STDEV(B24:B29)/B30)</f>
        <v>1.8402666621918863E-3</v>
      </c>
      <c r="C31" s="29"/>
      <c r="D31" s="29"/>
      <c r="E31" s="30"/>
    </row>
    <row r="32" spans="1:5" s="40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0" customFormat="1" ht="15.75" customHeight="1" x14ac:dyDescent="0.25">
      <c r="A33" s="72"/>
      <c r="B33" s="72"/>
      <c r="C33" s="72"/>
      <c r="D33" s="72"/>
      <c r="E33" s="72"/>
    </row>
    <row r="34" spans="1:5" s="40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146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0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0" customFormat="1" ht="15.75" customHeight="1" x14ac:dyDescent="0.25">
      <c r="A54" s="72"/>
      <c r="B54" s="72"/>
      <c r="C54" s="72"/>
      <c r="D54" s="72"/>
      <c r="E54" s="72"/>
    </row>
    <row r="55" spans="1:7" s="40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0"/>
      <c r="D58" s="43"/>
      <c r="F58" s="44"/>
      <c r="G58" s="44"/>
    </row>
    <row r="59" spans="1:7" ht="15" customHeight="1" x14ac:dyDescent="0.3">
      <c r="B59" s="467" t="s">
        <v>26</v>
      </c>
      <c r="C59" s="46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ARTEMETHER</vt:lpstr>
      <vt:lpstr>Uniformity</vt:lpstr>
      <vt:lpstr>Artemether</vt:lpstr>
      <vt:lpstr>lumefantrine</vt:lpstr>
      <vt:lpstr>SST LUMEFANTRINE</vt:lpstr>
      <vt:lpstr>Artemether!Print_Area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2017-07-10T08:35:43Z</cp:lastPrinted>
  <dcterms:created xsi:type="dcterms:W3CDTF">2005-07-05T10:19:27Z</dcterms:created>
  <dcterms:modified xsi:type="dcterms:W3CDTF">2017-07-13T09:05:50Z</dcterms:modified>
</cp:coreProperties>
</file>