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CITALOPRAM" sheetId="3" r:id="rId3"/>
  </sheets>
  <definedNames>
    <definedName name="_xlnm.Print_Area" localSheetId="0">SST!$A$1:$BD$70</definedName>
    <definedName name="_xlnm.Print_Area" localSheetId="1">Uniformity!$A$1:$J$57</definedName>
  </definedNames>
  <calcPr calcId="145621"/>
</workbook>
</file>

<file path=xl/calcChain.xml><?xml version="1.0" encoding="utf-8"?>
<calcChain xmlns="http://schemas.openxmlformats.org/spreadsheetml/2006/main">
  <c r="B21" i="1" l="1"/>
  <c r="B20" i="1"/>
  <c r="B19" i="1"/>
  <c r="B18" i="1"/>
  <c r="F96" i="3"/>
  <c r="D96" i="3"/>
  <c r="C120" i="3" l="1"/>
  <c r="B116" i="3"/>
  <c r="D100" i="3"/>
  <c r="B98" i="3"/>
  <c r="F95" i="3"/>
  <c r="D95" i="3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2" i="3"/>
  <c r="I39" i="3" s="1"/>
  <c r="D42" i="3"/>
  <c r="B34" i="3"/>
  <c r="D44" i="3" s="1"/>
  <c r="B30" i="3"/>
  <c r="C49" i="2"/>
  <c r="C46" i="2"/>
  <c r="D50" i="2" s="1"/>
  <c r="C45" i="2"/>
  <c r="D43" i="2"/>
  <c r="D41" i="2"/>
  <c r="D39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F99" i="3"/>
  <c r="D49" i="3"/>
  <c r="F44" i="3"/>
  <c r="F45" i="3" s="1"/>
  <c r="D101" i="3"/>
  <c r="G91" i="3" s="1"/>
  <c r="D45" i="3"/>
  <c r="E40" i="3" s="1"/>
  <c r="D46" i="3"/>
  <c r="E38" i="3"/>
  <c r="E39" i="3"/>
  <c r="G41" i="3"/>
  <c r="D24" i="2"/>
  <c r="D28" i="2"/>
  <c r="D32" i="2"/>
  <c r="D36" i="2"/>
  <c r="D40" i="2"/>
  <c r="D49" i="2"/>
  <c r="E41" i="3"/>
  <c r="B57" i="3"/>
  <c r="B69" i="3" s="1"/>
  <c r="C50" i="2"/>
  <c r="D97" i="3"/>
  <c r="D98" i="3" s="1"/>
  <c r="D99" i="3" s="1"/>
  <c r="D26" i="2"/>
  <c r="D30" i="2"/>
  <c r="D34" i="2"/>
  <c r="D38" i="2"/>
  <c r="D42" i="2"/>
  <c r="B49" i="2"/>
  <c r="G93" i="3" l="1"/>
  <c r="G38" i="3"/>
  <c r="G39" i="3"/>
  <c r="F46" i="3"/>
  <c r="D102" i="3"/>
  <c r="G92" i="3"/>
  <c r="G94" i="3"/>
  <c r="G40" i="3"/>
  <c r="D50" i="3" s="1"/>
  <c r="E91" i="3"/>
  <c r="E92" i="3"/>
  <c r="D52" i="3"/>
  <c r="E42" i="3"/>
  <c r="E94" i="3"/>
  <c r="E93" i="3"/>
  <c r="G95" i="3" l="1"/>
  <c r="G42" i="3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65" i="3"/>
  <c r="H65" i="3" s="1"/>
  <c r="G70" i="3"/>
  <c r="H70" i="3" s="1"/>
  <c r="G67" i="3"/>
  <c r="H67" i="3" s="1"/>
  <c r="G63" i="3"/>
  <c r="H63" i="3" s="1"/>
  <c r="G61" i="3"/>
  <c r="H61" i="3" s="1"/>
  <c r="E95" i="3"/>
  <c r="D105" i="3"/>
  <c r="D103" i="3"/>
  <c r="H60" i="3" l="1"/>
  <c r="G74" i="3"/>
  <c r="G72" i="3"/>
  <c r="G73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5" i="3" l="1"/>
  <c r="E116" i="3" s="1"/>
  <c r="E117" i="3"/>
  <c r="F108" i="3"/>
  <c r="H74" i="3"/>
  <c r="H72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<sst xmlns="http://schemas.openxmlformats.org/spreadsheetml/2006/main" count="234" uniqueCount="131">
  <si>
    <t>HPLC System Suitability Report</t>
  </si>
  <si>
    <t>Analysis Data</t>
  </si>
  <si>
    <t>Assay</t>
  </si>
  <si>
    <t>Sample(s)</t>
  </si>
  <si>
    <t>Reference Substance:</t>
  </si>
  <si>
    <t>AUROPRAM 20</t>
  </si>
  <si>
    <t>% age Purity:</t>
  </si>
  <si>
    <t>NDQD201509287</t>
  </si>
  <si>
    <t>Weight (mg):</t>
  </si>
  <si>
    <t>Citalopram Hydrpbromide</t>
  </si>
  <si>
    <t>Standard Conc (mg/mL):</t>
  </si>
  <si>
    <t>Each film coated tablet contains: Citalopram Hydrobromide equivalent to 20mg of Citalopram Base</t>
  </si>
  <si>
    <t>2015-09-23 08:44:52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</si>
  <si>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</si>
  <si>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</si>
  <si>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</si>
  <si>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</si>
  <si>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</si>
  <si>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</si>
  <si>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</si>
  <si>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</si>
  <si>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</si>
  <si>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</si>
  <si>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</si>
  <si>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</si>
  <si>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</si>
  <si>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</si>
  <si>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</si>
  <si>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</si>
  <si>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</si>
  <si>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</si>
  <si>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</si>
  <si>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</si>
  <si>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</si>
  <si>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</si>
  <si>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</si>
  <si>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</si>
  <si>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</si>
  <si>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</si>
  <si>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</si>
  <si>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</si>
  <si>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</si>
  <si>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</si>
  <si>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</si>
  <si>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</si>
  <si>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</si>
  <si>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</si>
  <si>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</si>
  <si>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</si>
  <si>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</si>
  <si>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</si>
  <si>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</si>
  <si>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</si>
  <si>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</si>
  <si>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</si>
  <si>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</si>
  <si>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</si>
  <si>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</si>
  <si>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</si>
  <si>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</si>
  <si>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</si>
  <si>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</si>
  <si>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</si>
  <si>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</si>
  <si>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</si>
  <si>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</si>
  <si>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</si>
  <si>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</si>
  <si>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</si>
  <si>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</si>
  <si>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</si>
  <si>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</si>
  <si>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</si>
  <si>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</si>
  <si>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</si>
  <si>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</si>
  <si>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</si>
  <si>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</si>
  <si>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</si>
  <si>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</si>
  <si>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</si>
  <si>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</si>
  <si>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</si>
  <si>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</si>
  <si>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</si>
  <si>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</si>
  <si>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</si>
  <si>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</si>
  <si>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</si>
  <si>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</si>
  <si>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</si>
  <si>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</si>
  <si>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</si>
  <si>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</si>
  <si>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</si>
  <si>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</si>
  <si>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</si>
  <si>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</si>
  <si>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</si>
  <si>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</si>
  <si>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</si>
  <si>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</si>
  <si>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</si>
  <si>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</si>
  <si>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</si>
  <si>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</si>
  <si>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</si>
  <si>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</si>
  <si>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</si>
  <si>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</si>
  <si>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</si>
  <si>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</si>
  <si>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</si>
  <si>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</si>
  <si>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</si>
  <si>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</si>
  <si>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</si>
  <si>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</si>
  <si>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</si>
  <si>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</si>
  <si>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</si>
  <si>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</si>
  <si>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</si>
  <si>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</si>
  <si>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</si>
  <si>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10th March 2016</t>
  </si>
  <si>
    <t>22nd Feb 2016</t>
  </si>
  <si>
    <t>Citalopram Hydrochloride</t>
  </si>
  <si>
    <t>WRS/C71-1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</si>
  <si>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</si>
  <si>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SAME AS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</si>
</sst>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20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4" fillId="3" borderId="29" xfId="0" applyFont="1" applyFill="1" applyBorder="1" applyAlignment="1" applyProtection="1">
      <alignment horizontal="center"/>
      <protection locked="0"/>
    </xf>
    <xf numFmtId="0" fontId="24" fillId="3" borderId="23" xfId="0" applyFont="1" applyFill="1" applyBorder="1" applyAlignment="1" applyProtection="1">
      <alignment horizontal="center"/>
      <protection locked="0"/>
    </xf>
    <xf numFmtId="0" fontId="24" fillId="3" borderId="34" xfId="0" applyFont="1" applyFill="1" applyBorder="1" applyAlignment="1" applyProtection="1">
      <alignment horizontal="center"/>
      <protection locked="0"/>
    </xf>
    <xf numFmtId="0" fontId="24" fillId="3" borderId="21" xfId="0" applyFont="1" applyFill="1" applyBorder="1" applyAlignment="1" applyProtection="1">
      <alignment horizontal="center"/>
      <protection locked="0"/>
    </xf>
    <xf numFmtId="1" fontId="24" fillId="3" borderId="23" xfId="0" applyNumberFormat="1" applyFont="1" applyFill="1" applyBorder="1" applyAlignment="1" applyProtection="1">
      <alignment horizontal="center"/>
      <protection locked="0"/>
    </xf>
    <xf numFmtId="0" fontId="24" fillId="3" borderId="43" xfId="0" applyFont="1" applyFill="1" applyBorder="1" applyAlignment="1" applyProtection="1">
      <alignment horizontal="center"/>
      <protection locked="0"/>
    </xf>
    <xf numFmtId="1" fontId="24" fillId="3" borderId="31" xfId="0" applyNumberFormat="1" applyFont="1" applyFill="1" applyBorder="1" applyAlignment="1" applyProtection="1">
      <alignment horizontal="center"/>
      <protection locked="0"/>
    </xf>
    <xf numFmtId="1" fontId="24" fillId="3" borderId="35" xfId="0" applyNumberFormat="1" applyFont="1" applyFill="1" applyBorder="1" applyAlignment="1" applyProtection="1">
      <alignment horizontal="center"/>
      <protection locked="0"/>
    </xf>
    <xf numFmtId="0" fontId="27" fillId="2" borderId="0" xfId="0" applyFont="1" applyFill="1" applyAlignment="1">
      <alignment horizontal="center"/>
    </xf>
    <xf numFmtId="2" fontId="27" fillId="2" borderId="0" xfId="0" applyNumberFormat="1" applyFont="1" applyFill="1" applyAlignment="1">
      <alignment horizontal="center"/>
    </xf>
    <xf numFmtId="164" fontId="27" fillId="2" borderId="0" xfId="0" applyNumberFormat="1" applyFont="1" applyFill="1" applyAlignment="1">
      <alignment horizontal="center"/>
    </xf>
    <xf numFmtId="0" fontId="26" fillId="2" borderId="0" xfId="0" applyFont="1" applyFill="1"/>
    <xf numFmtId="0" fontId="25" fillId="2" borderId="0" xfId="0" applyFont="1" applyFill="1"/>
    <xf numFmtId="0" fontId="28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24" fillId="3" borderId="13" xfId="0" applyNumberFormat="1" applyFont="1" applyFill="1" applyBorder="1" applyAlignment="1" applyProtection="1">
      <alignment horizontal="center" vertical="center"/>
      <protection locked="0"/>
    </xf>
    <xf numFmtId="2" fontId="24" fillId="3" borderId="14" xfId="0" applyNumberFormat="1" applyFont="1" applyFill="1" applyBorder="1" applyAlignment="1" applyProtection="1">
      <alignment horizontal="center" vertical="center"/>
      <protection locked="0"/>
    </xf>
    <xf numFmtId="2" fontId="24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8" fillId="2" borderId="0" xfId="0" applyFont="1" applyFill="1"/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view="pageBreakPreview" topLeftCell="A20" zoomScale="60" zoomScaleNormal="100" workbookViewId="0">
      <selection activeCell="C61" sqref="C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14.28515625" style="4" customWidth="1"/>
    <col min="7" max="7" width="17.85546875" style="4" customWidth="1"/>
    <col min="8" max="8" width="21.5703125" style="4" customWidth="1"/>
    <col min="9" max="9" width="9.140625" style="4" customWidth="1"/>
  </cols>
  <sheetData>
    <row r="1" spans="1:6" x14ac:dyDescent="0.25">
      <c r="A1" s="285"/>
    </row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8" t="s">
        <v>0</v>
      </c>
      <c r="B15" s="288"/>
      <c r="C15" s="288"/>
      <c r="D15" s="288"/>
      <c r="E15" s="28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282" t="s">
        <v>5</v>
      </c>
      <c r="D17" s="9"/>
      <c r="E17" s="10"/>
    </row>
    <row r="18" spans="1:6" ht="16.5" customHeight="1" x14ac:dyDescent="0.3">
      <c r="A18" s="11" t="s">
        <v>4</v>
      </c>
      <c r="B18" s="287" t="str">
        <f>CITALOPRAM!B26</f>
        <v>Citalopram Hydrochloride</v>
      </c>
      <c r="C18" s="10"/>
      <c r="D18" s="10"/>
      <c r="E18" s="10"/>
    </row>
    <row r="19" spans="1:6" ht="16.5" customHeight="1" x14ac:dyDescent="0.3">
      <c r="A19" s="11" t="s">
        <v>6</v>
      </c>
      <c r="B19" s="283">
        <f>CITALOPRAM!B28</f>
        <v>99.7</v>
      </c>
      <c r="C19" s="286" t="s">
        <v>129</v>
      </c>
      <c r="D19" s="10"/>
      <c r="E19" s="10"/>
    </row>
    <row r="20" spans="1:6" ht="16.5" customHeight="1" x14ac:dyDescent="0.3">
      <c r="A20" s="7" t="s">
        <v>8</v>
      </c>
      <c r="B20" s="283">
        <f>CITALOPRAM!D43</f>
        <v>32.409999999999997</v>
      </c>
      <c r="C20" s="10"/>
      <c r="D20" s="10"/>
      <c r="E20" s="10"/>
    </row>
    <row r="21" spans="1:6" ht="16.5" customHeight="1" x14ac:dyDescent="0.3">
      <c r="A21" s="7" t="s">
        <v>10</v>
      </c>
      <c r="B21" s="284">
        <f>CITALOPRAM!D46</f>
        <v>0.25855796100900452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83443800</v>
      </c>
      <c r="C24" s="19">
        <v>9756.09</v>
      </c>
      <c r="D24" s="19">
        <v>1.61</v>
      </c>
      <c r="E24" s="20">
        <v>11.58</v>
      </c>
    </row>
    <row r="25" spans="1:6" ht="16.5" customHeight="1" x14ac:dyDescent="0.3">
      <c r="A25" s="17">
        <v>2</v>
      </c>
      <c r="B25" s="18">
        <v>82992707</v>
      </c>
      <c r="C25" s="19">
        <v>9763</v>
      </c>
      <c r="D25" s="19">
        <v>1.6</v>
      </c>
      <c r="E25" s="19">
        <v>11.58</v>
      </c>
    </row>
    <row r="26" spans="1:6" ht="16.5" customHeight="1" x14ac:dyDescent="0.3">
      <c r="A26" s="17">
        <v>3</v>
      </c>
      <c r="B26" s="18">
        <v>83551235</v>
      </c>
      <c r="C26" s="19">
        <v>9744.4599999999991</v>
      </c>
      <c r="D26" s="19">
        <v>1.58</v>
      </c>
      <c r="E26" s="19">
        <v>11.59</v>
      </c>
    </row>
    <row r="27" spans="1:6" ht="16.5" customHeight="1" x14ac:dyDescent="0.3">
      <c r="A27" s="17">
        <v>4</v>
      </c>
      <c r="B27" s="18">
        <v>83165857</v>
      </c>
      <c r="C27" s="19">
        <v>9759.77</v>
      </c>
      <c r="D27" s="19">
        <v>1.58</v>
      </c>
      <c r="E27" s="19">
        <v>11.6</v>
      </c>
    </row>
    <row r="28" spans="1:6" ht="16.5" customHeight="1" x14ac:dyDescent="0.3">
      <c r="A28" s="17">
        <v>5</v>
      </c>
      <c r="B28" s="18">
        <v>83109895</v>
      </c>
      <c r="C28" s="19">
        <v>9762.73</v>
      </c>
      <c r="D28" s="19">
        <v>1.58</v>
      </c>
      <c r="E28" s="19">
        <v>11.6</v>
      </c>
    </row>
    <row r="29" spans="1:6" ht="16.5" customHeight="1" x14ac:dyDescent="0.3">
      <c r="A29" s="17">
        <v>6</v>
      </c>
      <c r="B29" s="21">
        <v>93151770</v>
      </c>
      <c r="C29" s="22">
        <v>9785.94</v>
      </c>
      <c r="D29" s="22">
        <v>1.62</v>
      </c>
      <c r="E29" s="22">
        <v>11.61</v>
      </c>
    </row>
    <row r="30" spans="1:6" ht="16.5" customHeight="1" x14ac:dyDescent="0.3">
      <c r="A30" s="23" t="s">
        <v>18</v>
      </c>
      <c r="B30" s="24">
        <f>AVERAGE(B24:B29)</f>
        <v>84902544</v>
      </c>
      <c r="C30" s="25">
        <f>AVERAGE(C24:C29)</f>
        <v>9761.9983333333348</v>
      </c>
      <c r="D30" s="26">
        <f>AVERAGE(D24:D29)</f>
        <v>1.595</v>
      </c>
      <c r="E30" s="26">
        <f>AVERAGE(E24:E29)</f>
        <v>11.593333333333334</v>
      </c>
    </row>
    <row r="31" spans="1:6" ht="16.5" customHeight="1" x14ac:dyDescent="0.3">
      <c r="A31" s="27" t="s">
        <v>19</v>
      </c>
      <c r="B31" s="28">
        <f>(STDEV(B24:B29)/B30)</f>
        <v>4.7663448784693994E-2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  <c r="C38" s="337" t="s">
        <v>130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9" t="s">
        <v>26</v>
      </c>
      <c r="C59" s="289"/>
      <c r="E59" s="45" t="s">
        <v>27</v>
      </c>
      <c r="F59" s="46"/>
      <c r="G59" s="45" t="s">
        <v>28</v>
      </c>
    </row>
    <row r="60" spans="1:7" ht="24.75" customHeight="1" x14ac:dyDescent="0.3">
      <c r="A60" s="47" t="s">
        <v>29</v>
      </c>
      <c r="B60" s="48"/>
      <c r="C60" s="48"/>
      <c r="E60" s="48"/>
      <c r="F60" s="2"/>
      <c r="G60" s="49"/>
    </row>
    <row r="61" spans="1:7" ht="27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  <colBreaks count="1" manualBreakCount="1">
    <brk id="8" max="6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8" workbookViewId="0">
      <selection activeCell="C18" sqref="C1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3" t="s">
        <v>31</v>
      </c>
      <c r="B11" s="294"/>
      <c r="C11" s="294"/>
      <c r="D11" s="294"/>
      <c r="E11" s="294"/>
      <c r="F11" s="295"/>
      <c r="G11" s="91"/>
    </row>
    <row r="12" spans="1:7" ht="16.5" customHeight="1" x14ac:dyDescent="0.3">
      <c r="A12" s="292" t="s">
        <v>32</v>
      </c>
      <c r="B12" s="292"/>
      <c r="C12" s="292"/>
      <c r="D12" s="292"/>
      <c r="E12" s="292"/>
      <c r="F12" s="292"/>
      <c r="G12" s="90"/>
    </row>
    <row r="14" spans="1:7" ht="16.5" customHeight="1" x14ac:dyDescent="0.3">
      <c r="A14" s="297" t="s">
        <v>33</v>
      </c>
      <c r="B14" s="297"/>
      <c r="C14" s="60" t="s">
        <v>5</v>
      </c>
    </row>
    <row r="15" spans="1:7" ht="16.5" customHeight="1" x14ac:dyDescent="0.3">
      <c r="A15" s="297" t="s">
        <v>34</v>
      </c>
      <c r="B15" s="297"/>
      <c r="C15" s="60" t="s">
        <v>7</v>
      </c>
    </row>
    <row r="16" spans="1:7" ht="16.5" customHeight="1" x14ac:dyDescent="0.3">
      <c r="A16" s="297" t="s">
        <v>35</v>
      </c>
      <c r="B16" s="297"/>
      <c r="C16" s="60" t="s">
        <v>9</v>
      </c>
    </row>
    <row r="17" spans="1:5" ht="16.5" customHeight="1" x14ac:dyDescent="0.3">
      <c r="A17" s="297" t="s">
        <v>36</v>
      </c>
      <c r="B17" s="297"/>
      <c r="C17" s="60" t="s">
        <v>11</v>
      </c>
    </row>
    <row r="18" spans="1:5" ht="16.5" customHeight="1" x14ac:dyDescent="0.3">
      <c r="A18" s="297" t="s">
        <v>37</v>
      </c>
      <c r="B18" s="297"/>
      <c r="C18" s="97" t="s">
        <v>12</v>
      </c>
    </row>
    <row r="19" spans="1:5" ht="16.5" customHeight="1" x14ac:dyDescent="0.3">
      <c r="A19" s="297" t="s">
        <v>38</v>
      </c>
      <c r="B19" s="297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2" t="s">
        <v>1</v>
      </c>
      <c r="B21" s="292"/>
      <c r="C21" s="59" t="s">
        <v>39</v>
      </c>
      <c r="D21" s="66"/>
    </row>
    <row r="22" spans="1:5" ht="15.75" customHeight="1" x14ac:dyDescent="0.3">
      <c r="A22" s="296"/>
      <c r="B22" s="296"/>
      <c r="C22" s="57"/>
      <c r="D22" s="296"/>
      <c r="E22" s="296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134.83000000000001</v>
      </c>
      <c r="D24" s="87">
        <f t="shared" ref="D24:D43" si="0">(C24-$C$46)/$C$46</f>
        <v>-7.8077282527908905E-3</v>
      </c>
      <c r="E24" s="53"/>
    </row>
    <row r="25" spans="1:5" ht="15.75" customHeight="1" x14ac:dyDescent="0.3">
      <c r="C25" s="95">
        <v>134.69</v>
      </c>
      <c r="D25" s="88">
        <f t="shared" si="0"/>
        <v>-8.8379657225277734E-3</v>
      </c>
      <c r="E25" s="53"/>
    </row>
    <row r="26" spans="1:5" ht="15.75" customHeight="1" x14ac:dyDescent="0.3">
      <c r="C26" s="95">
        <v>137.76</v>
      </c>
      <c r="D26" s="88">
        <f t="shared" si="0"/>
        <v>1.3753670220985724E-2</v>
      </c>
      <c r="E26" s="53"/>
    </row>
    <row r="27" spans="1:5" ht="15.75" customHeight="1" x14ac:dyDescent="0.3">
      <c r="C27" s="95">
        <v>134.69</v>
      </c>
      <c r="D27" s="88">
        <f t="shared" si="0"/>
        <v>-8.8379657225277734E-3</v>
      </c>
      <c r="E27" s="53"/>
    </row>
    <row r="28" spans="1:5" ht="15.75" customHeight="1" x14ac:dyDescent="0.3">
      <c r="C28" s="95">
        <v>133.43</v>
      </c>
      <c r="D28" s="88">
        <f t="shared" si="0"/>
        <v>-1.8110102950158673E-2</v>
      </c>
      <c r="E28" s="53"/>
    </row>
    <row r="29" spans="1:5" ht="15.75" customHeight="1" x14ac:dyDescent="0.3">
      <c r="C29" s="95">
        <v>138</v>
      </c>
      <c r="D29" s="88">
        <f t="shared" si="0"/>
        <v>1.5519791597677404E-2</v>
      </c>
      <c r="E29" s="53"/>
    </row>
    <row r="30" spans="1:5" ht="15.75" customHeight="1" x14ac:dyDescent="0.3">
      <c r="C30" s="95">
        <v>135.36000000000001</v>
      </c>
      <c r="D30" s="88">
        <f t="shared" si="0"/>
        <v>-3.9075435459302371E-3</v>
      </c>
      <c r="E30" s="53"/>
    </row>
    <row r="31" spans="1:5" ht="15.75" customHeight="1" x14ac:dyDescent="0.3">
      <c r="C31" s="95">
        <v>134.16999999999999</v>
      </c>
      <c r="D31" s="88">
        <f t="shared" si="0"/>
        <v>-1.266456203869301E-2</v>
      </c>
      <c r="E31" s="53"/>
    </row>
    <row r="32" spans="1:5" ht="15.75" customHeight="1" x14ac:dyDescent="0.3">
      <c r="C32" s="95">
        <v>134.47</v>
      </c>
      <c r="D32" s="88">
        <f t="shared" si="0"/>
        <v>-1.0456910317828411E-2</v>
      </c>
      <c r="E32" s="53"/>
    </row>
    <row r="33" spans="1:7" ht="15.75" customHeight="1" x14ac:dyDescent="0.3">
      <c r="C33" s="95">
        <v>134.91999999999999</v>
      </c>
      <c r="D33" s="88">
        <f t="shared" si="0"/>
        <v>-7.1454327365317195E-3</v>
      </c>
      <c r="E33" s="53"/>
    </row>
    <row r="34" spans="1:7" ht="15.75" customHeight="1" x14ac:dyDescent="0.3">
      <c r="C34" s="95">
        <v>137.59</v>
      </c>
      <c r="D34" s="88">
        <f t="shared" si="0"/>
        <v>1.2502667579162591E-2</v>
      </c>
      <c r="E34" s="53"/>
    </row>
    <row r="35" spans="1:7" ht="15.75" customHeight="1" x14ac:dyDescent="0.3">
      <c r="C35" s="95">
        <v>138.46</v>
      </c>
      <c r="D35" s="88">
        <f t="shared" si="0"/>
        <v>1.8904857569669722E-2</v>
      </c>
      <c r="E35" s="53"/>
    </row>
    <row r="36" spans="1:7" ht="15.75" customHeight="1" x14ac:dyDescent="0.3">
      <c r="C36" s="95">
        <v>135.43</v>
      </c>
      <c r="D36" s="88">
        <f t="shared" si="0"/>
        <v>-3.3924248110619002E-3</v>
      </c>
      <c r="E36" s="53"/>
    </row>
    <row r="37" spans="1:7" ht="15.75" customHeight="1" x14ac:dyDescent="0.3">
      <c r="C37" s="95">
        <v>136.1</v>
      </c>
      <c r="D37" s="88">
        <f t="shared" si="0"/>
        <v>1.5379973655354272E-3</v>
      </c>
      <c r="E37" s="53"/>
    </row>
    <row r="38" spans="1:7" ht="15.75" customHeight="1" x14ac:dyDescent="0.3">
      <c r="C38" s="95">
        <v>136.49</v>
      </c>
      <c r="D38" s="88">
        <f t="shared" si="0"/>
        <v>4.4079446026594072E-3</v>
      </c>
      <c r="E38" s="53"/>
    </row>
    <row r="39" spans="1:7" ht="15.75" customHeight="1" x14ac:dyDescent="0.3">
      <c r="C39" s="95">
        <v>140.37</v>
      </c>
      <c r="D39" s="88">
        <f t="shared" si="0"/>
        <v>3.2960240192507116E-2</v>
      </c>
      <c r="E39" s="53"/>
    </row>
    <row r="40" spans="1:7" ht="15.75" customHeight="1" x14ac:dyDescent="0.3">
      <c r="C40" s="95">
        <v>136.24</v>
      </c>
      <c r="D40" s="88">
        <f t="shared" si="0"/>
        <v>2.5682348352723101E-3</v>
      </c>
      <c r="E40" s="53"/>
    </row>
    <row r="41" spans="1:7" ht="15.75" customHeight="1" x14ac:dyDescent="0.3">
      <c r="C41" s="95">
        <v>133.43</v>
      </c>
      <c r="D41" s="88">
        <f t="shared" si="0"/>
        <v>-1.8110102950158673E-2</v>
      </c>
      <c r="E41" s="53"/>
    </row>
    <row r="42" spans="1:7" ht="15.75" customHeight="1" x14ac:dyDescent="0.3">
      <c r="C42" s="95">
        <v>134.28</v>
      </c>
      <c r="D42" s="88">
        <f t="shared" si="0"/>
        <v>-1.1855089741042588E-2</v>
      </c>
      <c r="E42" s="53"/>
    </row>
    <row r="43" spans="1:7" ht="16.5" customHeight="1" x14ac:dyDescent="0.3">
      <c r="C43" s="96">
        <v>137.11000000000001</v>
      </c>
      <c r="D43" s="89">
        <f t="shared" si="0"/>
        <v>8.9704248257794408E-3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2717.82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135.89100000000002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90">
        <f>C46</f>
        <v>135.89100000000002</v>
      </c>
      <c r="C49" s="93">
        <f>-IF(C46&lt;=80,10%,IF(C46&lt;250,7.5%,5%))</f>
        <v>-7.4999999999999997E-2</v>
      </c>
      <c r="D49" s="81">
        <f>IF(C46&lt;=80,C46*0.9,IF(C46&lt;250,C46*0.925,C46*0.95))</f>
        <v>125.69917500000003</v>
      </c>
    </row>
    <row r="50" spans="1:6" ht="17.25" customHeight="1" x14ac:dyDescent="0.3">
      <c r="B50" s="291"/>
      <c r="C50" s="94">
        <f>IF(C46&lt;=80, 10%, IF(C46&lt;250, 7.5%, 5%))</f>
        <v>7.4999999999999997E-2</v>
      </c>
      <c r="D50" s="81">
        <f>IF(C46&lt;=80, C46*1.1, IF(C46&lt;250, C46*1.075, C46*1.05))</f>
        <v>146.08282500000001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73" zoomScale="60" zoomScaleNormal="60" zoomScalePageLayoutView="55" workbookViewId="0">
      <selection activeCell="E54" sqref="E5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8" t="s">
        <v>45</v>
      </c>
      <c r="B1" s="298"/>
      <c r="C1" s="298"/>
      <c r="D1" s="298"/>
      <c r="E1" s="298"/>
      <c r="F1" s="298"/>
      <c r="G1" s="298"/>
      <c r="H1" s="298"/>
      <c r="I1" s="298"/>
    </row>
    <row r="2" spans="1:9" ht="18.75" customHeight="1" x14ac:dyDescent="0.25">
      <c r="A2" s="298"/>
      <c r="B2" s="298"/>
      <c r="C2" s="298"/>
      <c r="D2" s="298"/>
      <c r="E2" s="298"/>
      <c r="F2" s="298"/>
      <c r="G2" s="298"/>
      <c r="H2" s="298"/>
      <c r="I2" s="298"/>
    </row>
    <row r="3" spans="1:9" ht="18.75" customHeight="1" x14ac:dyDescent="0.25">
      <c r="A3" s="298"/>
      <c r="B3" s="298"/>
      <c r="C3" s="298"/>
      <c r="D3" s="298"/>
      <c r="E3" s="298"/>
      <c r="F3" s="298"/>
      <c r="G3" s="298"/>
      <c r="H3" s="298"/>
      <c r="I3" s="298"/>
    </row>
    <row r="4" spans="1:9" ht="18.75" customHeight="1" x14ac:dyDescent="0.25">
      <c r="A4" s="298"/>
      <c r="B4" s="298"/>
      <c r="C4" s="298"/>
      <c r="D4" s="298"/>
      <c r="E4" s="298"/>
      <c r="F4" s="298"/>
      <c r="G4" s="298"/>
      <c r="H4" s="298"/>
      <c r="I4" s="298"/>
    </row>
    <row r="5" spans="1:9" ht="18.75" customHeight="1" x14ac:dyDescent="0.25">
      <c r="A5" s="298"/>
      <c r="B5" s="298"/>
      <c r="C5" s="298"/>
      <c r="D5" s="298"/>
      <c r="E5" s="298"/>
      <c r="F5" s="298"/>
      <c r="G5" s="298"/>
      <c r="H5" s="298"/>
      <c r="I5" s="298"/>
    </row>
    <row r="6" spans="1:9" ht="18.75" customHeight="1" x14ac:dyDescent="0.25">
      <c r="A6" s="298"/>
      <c r="B6" s="298"/>
      <c r="C6" s="298"/>
      <c r="D6" s="298"/>
      <c r="E6" s="298"/>
      <c r="F6" s="298"/>
      <c r="G6" s="298"/>
      <c r="H6" s="298"/>
      <c r="I6" s="298"/>
    </row>
    <row r="7" spans="1:9" ht="18.75" customHeight="1" x14ac:dyDescent="0.25">
      <c r="A7" s="298"/>
      <c r="B7" s="298"/>
      <c r="C7" s="298"/>
      <c r="D7" s="298"/>
      <c r="E7" s="298"/>
      <c r="F7" s="298"/>
      <c r="G7" s="298"/>
      <c r="H7" s="298"/>
      <c r="I7" s="298"/>
    </row>
    <row r="8" spans="1:9" x14ac:dyDescent="0.25">
      <c r="A8" s="299" t="s">
        <v>46</v>
      </c>
      <c r="B8" s="299"/>
      <c r="C8" s="299"/>
      <c r="D8" s="299"/>
      <c r="E8" s="299"/>
      <c r="F8" s="299"/>
      <c r="G8" s="299"/>
      <c r="H8" s="299"/>
      <c r="I8" s="299"/>
    </row>
    <row r="9" spans="1:9" x14ac:dyDescent="0.25">
      <c r="A9" s="299"/>
      <c r="B9" s="299"/>
      <c r="C9" s="299"/>
      <c r="D9" s="299"/>
      <c r="E9" s="299"/>
      <c r="F9" s="299"/>
      <c r="G9" s="299"/>
      <c r="H9" s="299"/>
      <c r="I9" s="299"/>
    </row>
    <row r="10" spans="1:9" x14ac:dyDescent="0.25">
      <c r="A10" s="299"/>
      <c r="B10" s="299"/>
      <c r="C10" s="299"/>
      <c r="D10" s="299"/>
      <c r="E10" s="299"/>
      <c r="F10" s="299"/>
      <c r="G10" s="299"/>
      <c r="H10" s="299"/>
      <c r="I10" s="299"/>
    </row>
    <row r="11" spans="1:9" x14ac:dyDescent="0.25">
      <c r="A11" s="299"/>
      <c r="B11" s="299"/>
      <c r="C11" s="299"/>
      <c r="D11" s="299"/>
      <c r="E11" s="299"/>
      <c r="F11" s="299"/>
      <c r="G11" s="299"/>
      <c r="H11" s="299"/>
      <c r="I11" s="299"/>
    </row>
    <row r="12" spans="1:9" x14ac:dyDescent="0.25">
      <c r="A12" s="299"/>
      <c r="B12" s="299"/>
      <c r="C12" s="299"/>
      <c r="D12" s="299"/>
      <c r="E12" s="299"/>
      <c r="F12" s="299"/>
      <c r="G12" s="299"/>
      <c r="H12" s="299"/>
      <c r="I12" s="299"/>
    </row>
    <row r="13" spans="1:9" x14ac:dyDescent="0.25">
      <c r="A13" s="299"/>
      <c r="B13" s="299"/>
      <c r="C13" s="299"/>
      <c r="D13" s="299"/>
      <c r="E13" s="299"/>
      <c r="F13" s="299"/>
      <c r="G13" s="299"/>
      <c r="H13" s="299"/>
      <c r="I13" s="299"/>
    </row>
    <row r="14" spans="1:9" x14ac:dyDescent="0.25">
      <c r="A14" s="299"/>
      <c r="B14" s="299"/>
      <c r="C14" s="299"/>
      <c r="D14" s="299"/>
      <c r="E14" s="299"/>
      <c r="F14" s="299"/>
      <c r="G14" s="299"/>
      <c r="H14" s="299"/>
      <c r="I14" s="299"/>
    </row>
    <row r="15" spans="1:9" ht="19.5" customHeight="1" x14ac:dyDescent="0.3">
      <c r="A15" s="98"/>
    </row>
    <row r="16" spans="1:9" ht="19.5" customHeight="1" x14ac:dyDescent="0.3">
      <c r="A16" s="332" t="s">
        <v>31</v>
      </c>
      <c r="B16" s="333"/>
      <c r="C16" s="333"/>
      <c r="D16" s="333"/>
      <c r="E16" s="333"/>
      <c r="F16" s="333"/>
      <c r="G16" s="333"/>
      <c r="H16" s="334"/>
    </row>
    <row r="17" spans="1:14" ht="20.25" customHeight="1" x14ac:dyDescent="0.25">
      <c r="A17" s="335" t="s">
        <v>47</v>
      </c>
      <c r="B17" s="335"/>
      <c r="C17" s="335"/>
      <c r="D17" s="335"/>
      <c r="E17" s="335"/>
      <c r="F17" s="335"/>
      <c r="G17" s="335"/>
      <c r="H17" s="335"/>
    </row>
    <row r="18" spans="1:14" ht="26.25" customHeight="1" x14ac:dyDescent="0.4">
      <c r="A18" s="100" t="s">
        <v>33</v>
      </c>
      <c r="B18" s="331" t="s">
        <v>5</v>
      </c>
      <c r="C18" s="331"/>
      <c r="D18" s="260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3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6" t="s">
        <v>9</v>
      </c>
      <c r="C20" s="336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6" t="s">
        <v>11</v>
      </c>
      <c r="C21" s="336"/>
      <c r="D21" s="336"/>
      <c r="E21" s="336"/>
      <c r="F21" s="336"/>
      <c r="G21" s="336"/>
      <c r="H21" s="336"/>
      <c r="I21" s="104"/>
    </row>
    <row r="22" spans="1:14" ht="26.25" customHeight="1" x14ac:dyDescent="0.4">
      <c r="A22" s="100" t="s">
        <v>37</v>
      </c>
      <c r="B22" s="105" t="s">
        <v>126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 t="s">
        <v>125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31" t="s">
        <v>127</v>
      </c>
      <c r="C26" s="331"/>
    </row>
    <row r="27" spans="1:14" ht="26.25" customHeight="1" x14ac:dyDescent="0.4">
      <c r="A27" s="109" t="s">
        <v>48</v>
      </c>
      <c r="B27" s="329" t="s">
        <v>128</v>
      </c>
      <c r="C27" s="329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49</v>
      </c>
      <c r="B29" s="111">
        <v>0</v>
      </c>
      <c r="C29" s="306" t="s">
        <v>50</v>
      </c>
      <c r="D29" s="307"/>
      <c r="E29" s="307"/>
      <c r="F29" s="307"/>
      <c r="G29" s="308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324.35000000000002</v>
      </c>
      <c r="C31" s="309" t="s">
        <v>53</v>
      </c>
      <c r="D31" s="310"/>
      <c r="E31" s="310"/>
      <c r="F31" s="310"/>
      <c r="G31" s="310"/>
      <c r="H31" s="311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405.35</v>
      </c>
      <c r="C32" s="309" t="s">
        <v>55</v>
      </c>
      <c r="D32" s="310"/>
      <c r="E32" s="310"/>
      <c r="F32" s="310"/>
      <c r="G32" s="310"/>
      <c r="H32" s="311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0.80017269026766991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12" t="s">
        <v>59</v>
      </c>
      <c r="E36" s="330"/>
      <c r="F36" s="312" t="s">
        <v>60</v>
      </c>
      <c r="G36" s="31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274">
        <v>83085964</v>
      </c>
      <c r="E38" s="132">
        <f>IF(ISBLANK(D38),"-",$D$48/$D$45*D38)</f>
        <v>64268733.923923887</v>
      </c>
      <c r="F38" s="274">
        <v>85767006</v>
      </c>
      <c r="G38" s="133">
        <f>IF(ISBLANK(F38),"-",$D$48/$F$45*F38)</f>
        <v>63333222.115959905</v>
      </c>
      <c r="I38" s="134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5">
        <v>2</v>
      </c>
      <c r="D39" s="275">
        <v>83194626</v>
      </c>
      <c r="E39" s="136">
        <f>IF(ISBLANK(D39),"-",$D$48/$D$45*D39)</f>
        <v>64352786.257548392</v>
      </c>
      <c r="F39" s="275">
        <v>85848333</v>
      </c>
      <c r="G39" s="137">
        <f>IF(ISBLANK(F39),"-",$D$48/$F$45*F39)</f>
        <v>63393276.689335413</v>
      </c>
      <c r="I39" s="314">
        <f>ABS((F43/D43*D42)-F42)/D42</f>
        <v>1.594369483639951E-2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5">
        <v>3</v>
      </c>
      <c r="D40" s="275">
        <v>83086962</v>
      </c>
      <c r="E40" s="136">
        <f>IF(ISBLANK(D40),"-",$D$48/$D$45*D40)</f>
        <v>64269505.897833422</v>
      </c>
      <c r="F40" s="275">
        <v>85625371</v>
      </c>
      <c r="G40" s="137">
        <f>IF(ISBLANK(F40),"-",$D$48/$F$45*F40)</f>
        <v>63228634.100909062</v>
      </c>
      <c r="I40" s="314"/>
      <c r="L40" s="117"/>
      <c r="M40" s="117"/>
      <c r="N40" s="138"/>
    </row>
    <row r="41" spans="1:14" ht="27" customHeight="1" x14ac:dyDescent="0.4">
      <c r="A41" s="124" t="s">
        <v>69</v>
      </c>
      <c r="B41" s="125">
        <v>1</v>
      </c>
      <c r="C41" s="139">
        <v>4</v>
      </c>
      <c r="D41" s="276"/>
      <c r="E41" s="141" t="str">
        <f>IF(ISBLANK(D41),"-",$D$48/$D$45*D41)</f>
        <v>-</v>
      </c>
      <c r="F41" s="140"/>
      <c r="G41" s="142" t="str">
        <f>IF(ISBLANK(F41),"-",$D$48/$F$45*F41)</f>
        <v>-</v>
      </c>
      <c r="I41" s="143"/>
      <c r="L41" s="117"/>
      <c r="M41" s="117"/>
      <c r="N41" s="138"/>
    </row>
    <row r="42" spans="1:14" ht="27" customHeight="1" x14ac:dyDescent="0.4">
      <c r="A42" s="124" t="s">
        <v>70</v>
      </c>
      <c r="B42" s="125">
        <v>1</v>
      </c>
      <c r="C42" s="144" t="s">
        <v>71</v>
      </c>
      <c r="D42" s="145">
        <f>AVERAGE(D38:D41)</f>
        <v>83122517.333333328</v>
      </c>
      <c r="E42" s="146">
        <f>AVERAGE(E38:E41)</f>
        <v>64297008.693101905</v>
      </c>
      <c r="F42" s="145">
        <f>AVERAGE(F38:F41)</f>
        <v>85746903.333333328</v>
      </c>
      <c r="G42" s="147">
        <f>AVERAGE(G38:G41)</f>
        <v>63318377.635401458</v>
      </c>
      <c r="H42" s="148"/>
    </row>
    <row r="43" spans="1:14" ht="26.25" customHeight="1" x14ac:dyDescent="0.4">
      <c r="A43" s="124" t="s">
        <v>72</v>
      </c>
      <c r="B43" s="125">
        <v>1</v>
      </c>
      <c r="C43" s="149" t="s">
        <v>73</v>
      </c>
      <c r="D43" s="150">
        <v>32.409999999999997</v>
      </c>
      <c r="E43" s="138"/>
      <c r="F43" s="150">
        <v>33.950000000000003</v>
      </c>
      <c r="H43" s="148"/>
    </row>
    <row r="44" spans="1:14" ht="26.25" customHeight="1" x14ac:dyDescent="0.4">
      <c r="A44" s="124" t="s">
        <v>74</v>
      </c>
      <c r="B44" s="125">
        <v>1</v>
      </c>
      <c r="C44" s="151" t="s">
        <v>75</v>
      </c>
      <c r="D44" s="152">
        <f>D43*$B$34</f>
        <v>25.933596891575178</v>
      </c>
      <c r="E44" s="153"/>
      <c r="F44" s="152">
        <f>F43*$B$34</f>
        <v>27.165862834587397</v>
      </c>
      <c r="H44" s="148"/>
    </row>
    <row r="45" spans="1:14" ht="19.5" customHeight="1" x14ac:dyDescent="0.3">
      <c r="A45" s="124" t="s">
        <v>76</v>
      </c>
      <c r="B45" s="154">
        <f>(B44/B43)*(B42/B41)*(B40/B39)*(B38/B37)*B36</f>
        <v>100</v>
      </c>
      <c r="C45" s="151" t="s">
        <v>77</v>
      </c>
      <c r="D45" s="155">
        <f>D44*$B$30/100</f>
        <v>25.855796100900452</v>
      </c>
      <c r="E45" s="156"/>
      <c r="F45" s="155">
        <f>F44*$B$30/100</f>
        <v>27.084365246083635</v>
      </c>
      <c r="H45" s="148"/>
    </row>
    <row r="46" spans="1:14" ht="19.5" customHeight="1" x14ac:dyDescent="0.3">
      <c r="A46" s="300" t="s">
        <v>78</v>
      </c>
      <c r="B46" s="301"/>
      <c r="C46" s="151" t="s">
        <v>79</v>
      </c>
      <c r="D46" s="157">
        <f>D45/$B$45</f>
        <v>0.25855796100900452</v>
      </c>
      <c r="E46" s="158"/>
      <c r="F46" s="159">
        <f>F45/$B$45</f>
        <v>0.27084365246083636</v>
      </c>
      <c r="H46" s="148"/>
    </row>
    <row r="47" spans="1:14" ht="27" customHeight="1" x14ac:dyDescent="0.4">
      <c r="A47" s="302"/>
      <c r="B47" s="303"/>
      <c r="C47" s="160" t="s">
        <v>80</v>
      </c>
      <c r="D47" s="161">
        <v>0.2</v>
      </c>
      <c r="E47" s="162"/>
      <c r="F47" s="158"/>
      <c r="H47" s="148"/>
    </row>
    <row r="48" spans="1:14" ht="18.75" x14ac:dyDescent="0.3">
      <c r="C48" s="163" t="s">
        <v>81</v>
      </c>
      <c r="D48" s="155">
        <f>D47*$B$45</f>
        <v>20</v>
      </c>
      <c r="F48" s="164"/>
      <c r="H48" s="148"/>
    </row>
    <row r="49" spans="1:12" ht="19.5" customHeight="1" x14ac:dyDescent="0.3">
      <c r="C49" s="165" t="s">
        <v>82</v>
      </c>
      <c r="D49" s="166">
        <f>D48/B34</f>
        <v>24.99460459380299</v>
      </c>
      <c r="F49" s="164"/>
      <c r="H49" s="148"/>
    </row>
    <row r="50" spans="1:12" ht="18.75" x14ac:dyDescent="0.3">
      <c r="C50" s="122" t="s">
        <v>83</v>
      </c>
      <c r="D50" s="167">
        <f>AVERAGE(E38:E41,G38:G41)</f>
        <v>63807693.164251685</v>
      </c>
      <c r="F50" s="168"/>
      <c r="H50" s="148"/>
    </row>
    <row r="51" spans="1:12" ht="18.75" x14ac:dyDescent="0.3">
      <c r="C51" s="124" t="s">
        <v>84</v>
      </c>
      <c r="D51" s="169">
        <f>STDEV(E38:E41,G38:G41)/D50</f>
        <v>8.4545936610772709E-3</v>
      </c>
      <c r="F51" s="168"/>
      <c r="H51" s="148"/>
    </row>
    <row r="52" spans="1:12" ht="19.5" customHeight="1" x14ac:dyDescent="0.3">
      <c r="C52" s="170" t="s">
        <v>20</v>
      </c>
      <c r="D52" s="171">
        <f>COUNT(E38:E41,G38:G41)</f>
        <v>6</v>
      </c>
      <c r="F52" s="168"/>
    </row>
    <row r="54" spans="1:12" ht="18.75" x14ac:dyDescent="0.3">
      <c r="A54" s="172" t="s">
        <v>1</v>
      </c>
      <c r="B54" s="173" t="s">
        <v>85</v>
      </c>
    </row>
    <row r="55" spans="1:12" ht="18.75" x14ac:dyDescent="0.3">
      <c r="A55" s="99" t="s">
        <v>86</v>
      </c>
      <c r="B55" s="174" t="str">
        <f>B21</f>
        <v>Each film coated tablet contains: Citalopram Hydrobromide equivalent to 20mg of Citalopram Base</v>
      </c>
    </row>
    <row r="56" spans="1:12" ht="26.25" customHeight="1" x14ac:dyDescent="0.4">
      <c r="A56" s="175" t="s">
        <v>87</v>
      </c>
      <c r="B56" s="176">
        <v>20</v>
      </c>
      <c r="C56" s="99" t="str">
        <f>B20</f>
        <v>Citalopram Hydrpbromide</v>
      </c>
      <c r="H56" s="177"/>
    </row>
    <row r="57" spans="1:12" ht="18.75" x14ac:dyDescent="0.3">
      <c r="A57" s="174" t="s">
        <v>88</v>
      </c>
      <c r="B57" s="261">
        <f>Uniformity!C46</f>
        <v>135.89100000000002</v>
      </c>
      <c r="H57" s="177"/>
    </row>
    <row r="58" spans="1:12" ht="19.5" customHeight="1" x14ac:dyDescent="0.3">
      <c r="H58" s="177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78" t="s">
        <v>90</v>
      </c>
      <c r="E59" s="179" t="s">
        <v>62</v>
      </c>
      <c r="F59" s="179" t="s">
        <v>63</v>
      </c>
      <c r="G59" s="179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317" t="s">
        <v>94</v>
      </c>
      <c r="D60" s="320">
        <v>134.9</v>
      </c>
      <c r="E60" s="180">
        <v>1</v>
      </c>
      <c r="F60" s="277">
        <v>62210282</v>
      </c>
      <c r="G60" s="262">
        <f>IF(ISBLANK(F60),"-",(F60/$D$50*$D$47*$B$68)*($B$57/$D$60))</f>
        <v>19.642549971131249</v>
      </c>
      <c r="H60" s="181">
        <f t="shared" ref="H60:H71" si="0">IF(ISBLANK(F60),"-",G60/$B$56)</f>
        <v>0.98212749855656245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318"/>
      <c r="D61" s="321"/>
      <c r="E61" s="182">
        <v>2</v>
      </c>
      <c r="F61" s="275">
        <v>62319434</v>
      </c>
      <c r="G61" s="263">
        <f>IF(ISBLANK(F61),"-",(F61/$D$50*$D$47*$B$68)*($B$57/$D$60))</f>
        <v>19.677014107050915</v>
      </c>
      <c r="H61" s="183">
        <f t="shared" si="0"/>
        <v>0.98385070535254582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8"/>
      <c r="D62" s="321"/>
      <c r="E62" s="182">
        <v>3</v>
      </c>
      <c r="F62" s="278">
        <v>62027704</v>
      </c>
      <c r="G62" s="263">
        <f>IF(ISBLANK(F62),"-",(F62/$D$50*$D$47*$B$68)*($B$57/$D$60))</f>
        <v>19.584901984764151</v>
      </c>
      <c r="H62" s="183">
        <f t="shared" si="0"/>
        <v>0.97924509923820757</v>
      </c>
      <c r="L62" s="112"/>
    </row>
    <row r="63" spans="1:12" ht="27" customHeight="1" x14ac:dyDescent="0.4">
      <c r="A63" s="124" t="s">
        <v>97</v>
      </c>
      <c r="B63" s="125">
        <v>1</v>
      </c>
      <c r="C63" s="328"/>
      <c r="D63" s="322"/>
      <c r="E63" s="184">
        <v>4</v>
      </c>
      <c r="F63" s="279"/>
      <c r="G63" s="263" t="str">
        <f>IF(ISBLANK(F63),"-",(F63/$D$50*$D$47*$B$68)*($B$57/$D$60))</f>
        <v>-</v>
      </c>
      <c r="H63" s="183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7" t="s">
        <v>99</v>
      </c>
      <c r="D64" s="320">
        <v>134.83000000000001</v>
      </c>
      <c r="E64" s="180">
        <v>1</v>
      </c>
      <c r="F64" s="277">
        <v>62240443</v>
      </c>
      <c r="G64" s="264">
        <f>IF(ISBLANK(F64),"-",(F64/$D$50*$D$47*$B$68)*($B$57/$D$64))</f>
        <v>19.662275950690876</v>
      </c>
      <c r="H64" s="185">
        <f t="shared" si="0"/>
        <v>0.98311379753454387</v>
      </c>
    </row>
    <row r="65" spans="1:8" ht="26.25" customHeight="1" x14ac:dyDescent="0.4">
      <c r="A65" s="124" t="s">
        <v>100</v>
      </c>
      <c r="B65" s="125">
        <v>1</v>
      </c>
      <c r="C65" s="318"/>
      <c r="D65" s="321"/>
      <c r="E65" s="182">
        <v>2</v>
      </c>
      <c r="F65" s="275">
        <v>61792606</v>
      </c>
      <c r="G65" s="265">
        <f>IF(ISBLANK(F65),"-",(F65/$D$50*$D$47*$B$68)*($B$57/$D$64))</f>
        <v>19.52080050079844</v>
      </c>
      <c r="H65" s="186">
        <f t="shared" si="0"/>
        <v>0.97604002503992204</v>
      </c>
    </row>
    <row r="66" spans="1:8" ht="26.25" customHeight="1" x14ac:dyDescent="0.4">
      <c r="A66" s="124" t="s">
        <v>101</v>
      </c>
      <c r="B66" s="125">
        <v>1</v>
      </c>
      <c r="C66" s="318"/>
      <c r="D66" s="321"/>
      <c r="E66" s="182">
        <v>3</v>
      </c>
      <c r="F66" s="275">
        <v>62205950</v>
      </c>
      <c r="G66" s="265">
        <f>IF(ISBLANK(F66),"-",(F66/$D$50*$D$47*$B$68)*($B$57/$D$64))</f>
        <v>19.651379323808463</v>
      </c>
      <c r="H66" s="186">
        <f t="shared" si="0"/>
        <v>0.98256896619042311</v>
      </c>
    </row>
    <row r="67" spans="1:8" ht="27" customHeight="1" x14ac:dyDescent="0.4">
      <c r="A67" s="124" t="s">
        <v>102</v>
      </c>
      <c r="B67" s="125">
        <v>1</v>
      </c>
      <c r="C67" s="328"/>
      <c r="D67" s="322"/>
      <c r="E67" s="184">
        <v>4</v>
      </c>
      <c r="F67" s="279"/>
      <c r="G67" s="266" t="str">
        <f>IF(ISBLANK(F67),"-",(F67/$D$50*$D$47*$B$68)*($B$57/$D$64))</f>
        <v>-</v>
      </c>
      <c r="H67" s="187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</v>
      </c>
      <c r="C68" s="317" t="s">
        <v>104</v>
      </c>
      <c r="D68" s="320">
        <v>134.58000000000001</v>
      </c>
      <c r="E68" s="180">
        <v>1</v>
      </c>
      <c r="F68" s="277">
        <v>62095908</v>
      </c>
      <c r="G68" s="264">
        <f>IF(ISBLANK(F68),"-",(F68/$D$50*$D$47*$B$68)*($B$57/$D$68))</f>
        <v>19.653056573797265</v>
      </c>
      <c r="H68" s="183">
        <f t="shared" si="0"/>
        <v>0.98265282868986326</v>
      </c>
    </row>
    <row r="69" spans="1:8" ht="27" customHeight="1" x14ac:dyDescent="0.4">
      <c r="A69" s="170" t="s">
        <v>105</v>
      </c>
      <c r="B69" s="189">
        <f>(D47*B68)/B56*B57</f>
        <v>135.89100000000002</v>
      </c>
      <c r="C69" s="318"/>
      <c r="D69" s="321"/>
      <c r="E69" s="182">
        <v>2</v>
      </c>
      <c r="F69" s="275">
        <v>61791223</v>
      </c>
      <c r="G69" s="265">
        <f>IF(ISBLANK(F69),"-",(F69/$D$50*$D$47*$B$68)*($B$57/$D$68))</f>
        <v>19.556625235001356</v>
      </c>
      <c r="H69" s="183">
        <f t="shared" si="0"/>
        <v>0.97783126175006774</v>
      </c>
    </row>
    <row r="70" spans="1:8" ht="26.25" customHeight="1" x14ac:dyDescent="0.4">
      <c r="A70" s="323" t="s">
        <v>78</v>
      </c>
      <c r="B70" s="324"/>
      <c r="C70" s="318"/>
      <c r="D70" s="321"/>
      <c r="E70" s="182">
        <v>3</v>
      </c>
      <c r="F70" s="275">
        <v>61889612</v>
      </c>
      <c r="G70" s="265">
        <f>IF(ISBLANK(F70),"-",(F70/$D$50*$D$47*$B$68)*($B$57/$D$68))</f>
        <v>19.587764880841451</v>
      </c>
      <c r="H70" s="183">
        <f t="shared" si="0"/>
        <v>0.97938824404207259</v>
      </c>
    </row>
    <row r="71" spans="1:8" ht="27" customHeight="1" x14ac:dyDescent="0.4">
      <c r="A71" s="325"/>
      <c r="B71" s="326"/>
      <c r="C71" s="319"/>
      <c r="D71" s="322"/>
      <c r="E71" s="184">
        <v>4</v>
      </c>
      <c r="F71" s="279"/>
      <c r="G71" s="266" t="str">
        <f>IF(ISBLANK(F71),"-",(F71/$D$50*$D$47*$B$68)*($B$57/$D$68))</f>
        <v>-</v>
      </c>
      <c r="H71" s="190" t="str">
        <f t="shared" si="0"/>
        <v>-</v>
      </c>
    </row>
    <row r="72" spans="1:8" ht="26.25" customHeight="1" x14ac:dyDescent="0.4">
      <c r="A72" s="191"/>
      <c r="B72" s="191"/>
      <c r="C72" s="191"/>
      <c r="D72" s="191"/>
      <c r="E72" s="191"/>
      <c r="F72" s="193" t="s">
        <v>71</v>
      </c>
      <c r="G72" s="271">
        <f>AVERAGE(G60:G71)</f>
        <v>19.615152058653798</v>
      </c>
      <c r="H72" s="194">
        <f>AVERAGE(H60:H71)</f>
        <v>0.98075760293268976</v>
      </c>
    </row>
    <row r="73" spans="1:8" ht="26.25" customHeight="1" x14ac:dyDescent="0.4">
      <c r="C73" s="191"/>
      <c r="D73" s="191"/>
      <c r="E73" s="191"/>
      <c r="F73" s="195" t="s">
        <v>84</v>
      </c>
      <c r="G73" s="267">
        <f>STDEV(G60:G71)/G72</f>
        <v>2.7654616151386877E-3</v>
      </c>
      <c r="H73" s="267">
        <f>STDEV(H60:H71)/H72</f>
        <v>2.7654616151386955E-3</v>
      </c>
    </row>
    <row r="74" spans="1:8" ht="27" customHeight="1" x14ac:dyDescent="0.4">
      <c r="A74" s="191"/>
      <c r="B74" s="191"/>
      <c r="C74" s="192"/>
      <c r="D74" s="192"/>
      <c r="E74" s="196"/>
      <c r="F74" s="197" t="s">
        <v>20</v>
      </c>
      <c r="G74" s="198">
        <f>COUNT(G60:G71)</f>
        <v>9</v>
      </c>
      <c r="H74" s="198">
        <f>COUNT(H60:H71)</f>
        <v>9</v>
      </c>
    </row>
    <row r="76" spans="1:8" ht="26.25" customHeight="1" x14ac:dyDescent="0.4">
      <c r="A76" s="108" t="s">
        <v>106</v>
      </c>
      <c r="B76" s="199" t="s">
        <v>107</v>
      </c>
      <c r="C76" s="304" t="str">
        <f>B20</f>
        <v>Citalopram Hydrpbromide</v>
      </c>
      <c r="D76" s="304"/>
      <c r="E76" s="200" t="s">
        <v>108</v>
      </c>
      <c r="F76" s="200"/>
      <c r="G76" s="201">
        <f>H72</f>
        <v>0.98075760293268976</v>
      </c>
      <c r="H76" s="202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7" t="str">
        <f>B26</f>
        <v>Citalopram Hydrochloride</v>
      </c>
      <c r="C79" s="327"/>
    </row>
    <row r="80" spans="1:8" ht="26.25" customHeight="1" x14ac:dyDescent="0.4">
      <c r="A80" s="109" t="s">
        <v>48</v>
      </c>
      <c r="B80" s="327" t="str">
        <f>B27</f>
        <v>WRS/C71-1</v>
      </c>
      <c r="C80" s="327"/>
    </row>
    <row r="81" spans="1:12" ht="27" customHeight="1" x14ac:dyDescent="0.4">
      <c r="A81" s="109" t="s">
        <v>6</v>
      </c>
      <c r="B81" s="203">
        <f>B28</f>
        <v>99.7</v>
      </c>
    </row>
    <row r="82" spans="1:12" s="14" customFormat="1" ht="27" customHeight="1" x14ac:dyDescent="0.4">
      <c r="A82" s="109" t="s">
        <v>49</v>
      </c>
      <c r="B82" s="111">
        <v>0</v>
      </c>
      <c r="C82" s="306" t="s">
        <v>50</v>
      </c>
      <c r="D82" s="307"/>
      <c r="E82" s="307"/>
      <c r="F82" s="307"/>
      <c r="G82" s="308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324.35000000000002</v>
      </c>
      <c r="C84" s="309" t="s">
        <v>111</v>
      </c>
      <c r="D84" s="310"/>
      <c r="E84" s="310"/>
      <c r="F84" s="310"/>
      <c r="G84" s="310"/>
      <c r="H84" s="311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405.35</v>
      </c>
      <c r="C85" s="309" t="s">
        <v>112</v>
      </c>
      <c r="D85" s="310"/>
      <c r="E85" s="310"/>
      <c r="F85" s="310"/>
      <c r="G85" s="310"/>
      <c r="H85" s="311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0.80017269026766991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4" t="s">
        <v>59</v>
      </c>
      <c r="E89" s="205"/>
      <c r="F89" s="312" t="s">
        <v>60</v>
      </c>
      <c r="G89" s="313"/>
    </row>
    <row r="90" spans="1:12" ht="27" customHeight="1" x14ac:dyDescent="0.4">
      <c r="A90" s="124" t="s">
        <v>61</v>
      </c>
      <c r="B90" s="125">
        <v>4</v>
      </c>
      <c r="C90" s="206" t="s">
        <v>62</v>
      </c>
      <c r="D90" s="127" t="s">
        <v>63</v>
      </c>
      <c r="E90" s="128" t="s">
        <v>64</v>
      </c>
      <c r="F90" s="127" t="s">
        <v>63</v>
      </c>
      <c r="G90" s="207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08">
        <v>1</v>
      </c>
      <c r="D91" s="274">
        <v>32788331</v>
      </c>
      <c r="E91" s="132">
        <f>IF(ISBLANK(D91),"-",$D$101/$D$98*D91)</f>
        <v>35225640.265259646</v>
      </c>
      <c r="F91" s="274">
        <v>33991937</v>
      </c>
      <c r="G91" s="133">
        <f>IF(ISBLANK(F91),"-",$D$101/$F$98*F91)</f>
        <v>34862196.829912983</v>
      </c>
      <c r="I91" s="134"/>
    </row>
    <row r="92" spans="1:12" ht="26.25" customHeight="1" x14ac:dyDescent="0.4">
      <c r="A92" s="124" t="s">
        <v>67</v>
      </c>
      <c r="B92" s="125">
        <v>1</v>
      </c>
      <c r="C92" s="192">
        <v>2</v>
      </c>
      <c r="D92" s="275">
        <v>32763633</v>
      </c>
      <c r="E92" s="136">
        <f>IF(ISBLANK(D92),"-",$D$101/$D$98*D92)</f>
        <v>35199106.347956218</v>
      </c>
      <c r="F92" s="275">
        <v>33941764</v>
      </c>
      <c r="G92" s="137">
        <f>IF(ISBLANK(F92),"-",$D$101/$F$98*F92)</f>
        <v>34810739.303336985</v>
      </c>
      <c r="I92" s="314">
        <f>ABS((F96/D96*D95)-F95)/D95</f>
        <v>1.1701342260970022E-2</v>
      </c>
    </row>
    <row r="93" spans="1:12" ht="26.25" customHeight="1" x14ac:dyDescent="0.4">
      <c r="A93" s="124" t="s">
        <v>68</v>
      </c>
      <c r="B93" s="125">
        <v>1</v>
      </c>
      <c r="C93" s="192">
        <v>3</v>
      </c>
      <c r="D93" s="275">
        <v>32736717</v>
      </c>
      <c r="E93" s="136">
        <f>IF(ISBLANK(D93),"-",$D$101/$D$98*D93)</f>
        <v>35170189.55638852</v>
      </c>
      <c r="F93" s="275">
        <v>33875175</v>
      </c>
      <c r="G93" s="137">
        <f>IF(ISBLANK(F93),"-",$D$101/$F$98*F93)</f>
        <v>34742445.495169856</v>
      </c>
      <c r="I93" s="314"/>
    </row>
    <row r="94" spans="1:12" ht="27" customHeight="1" x14ac:dyDescent="0.4">
      <c r="A94" s="124" t="s">
        <v>69</v>
      </c>
      <c r="B94" s="125">
        <v>1</v>
      </c>
      <c r="C94" s="209">
        <v>4</v>
      </c>
      <c r="D94" s="140"/>
      <c r="E94" s="141" t="str">
        <f>IF(ISBLANK(D94),"-",$D$101/$D$98*D94)</f>
        <v>-</v>
      </c>
      <c r="F94" s="210"/>
      <c r="G94" s="142" t="str">
        <f>IF(ISBLANK(F94),"-",$D$101/$F$98*F94)</f>
        <v>-</v>
      </c>
      <c r="I94" s="143"/>
    </row>
    <row r="95" spans="1:12" ht="27" customHeight="1" x14ac:dyDescent="0.4">
      <c r="A95" s="124" t="s">
        <v>70</v>
      </c>
      <c r="B95" s="125">
        <v>1</v>
      </c>
      <c r="C95" s="211" t="s">
        <v>71</v>
      </c>
      <c r="D95" s="212">
        <f>AVERAGE(D91:D94)</f>
        <v>32762893.666666668</v>
      </c>
      <c r="E95" s="146">
        <f>AVERAGE(E91:E94)</f>
        <v>35198312.056534797</v>
      </c>
      <c r="F95" s="213">
        <f>AVERAGE(F91:F94)</f>
        <v>33936292</v>
      </c>
      <c r="G95" s="214">
        <f>AVERAGE(G91:G94)</f>
        <v>34805127.209473275</v>
      </c>
    </row>
    <row r="96" spans="1:12" ht="26.25" customHeight="1" x14ac:dyDescent="0.4">
      <c r="A96" s="124" t="s">
        <v>72</v>
      </c>
      <c r="B96" s="110">
        <v>1</v>
      </c>
      <c r="C96" s="215" t="s">
        <v>113</v>
      </c>
      <c r="D96" s="216">
        <f>D43</f>
        <v>32.409999999999997</v>
      </c>
      <c r="E96" s="138"/>
      <c r="F96" s="150">
        <f>F43</f>
        <v>33.950000000000003</v>
      </c>
    </row>
    <row r="97" spans="1:10" ht="26.25" customHeight="1" x14ac:dyDescent="0.4">
      <c r="A97" s="124" t="s">
        <v>74</v>
      </c>
      <c r="B97" s="110">
        <v>1</v>
      </c>
      <c r="C97" s="217" t="s">
        <v>114</v>
      </c>
      <c r="D97" s="218">
        <f>D96*$B$87</f>
        <v>25.933596891575178</v>
      </c>
      <c r="E97" s="153"/>
      <c r="F97" s="152">
        <f>F96*$B$87</f>
        <v>27.165862834587397</v>
      </c>
    </row>
    <row r="98" spans="1:10" ht="19.5" customHeight="1" x14ac:dyDescent="0.3">
      <c r="A98" s="124" t="s">
        <v>76</v>
      </c>
      <c r="B98" s="219">
        <f>(B97/B96)*(B95/B94)*(B93/B92)*(B91/B90)*B89</f>
        <v>1250</v>
      </c>
      <c r="C98" s="217" t="s">
        <v>115</v>
      </c>
      <c r="D98" s="220">
        <f>D97*$B$83/100</f>
        <v>25.855796100900452</v>
      </c>
      <c r="E98" s="156"/>
      <c r="F98" s="155">
        <f>F97*$B$83/100</f>
        <v>27.084365246083635</v>
      </c>
    </row>
    <row r="99" spans="1:10" ht="19.5" customHeight="1" x14ac:dyDescent="0.3">
      <c r="A99" s="300" t="s">
        <v>78</v>
      </c>
      <c r="B99" s="315"/>
      <c r="C99" s="217" t="s">
        <v>116</v>
      </c>
      <c r="D99" s="221">
        <f>D98/$B$98</f>
        <v>2.0684636880720361E-2</v>
      </c>
      <c r="E99" s="156"/>
      <c r="F99" s="159">
        <f>F98/$B$98</f>
        <v>2.1667492196866908E-2</v>
      </c>
      <c r="G99" s="222"/>
      <c r="H99" s="148"/>
    </row>
    <row r="100" spans="1:10" ht="19.5" customHeight="1" x14ac:dyDescent="0.3">
      <c r="A100" s="302"/>
      <c r="B100" s="316"/>
      <c r="C100" s="217" t="s">
        <v>80</v>
      </c>
      <c r="D100" s="223">
        <f>$B$56/$B$116</f>
        <v>2.2222222222222223E-2</v>
      </c>
      <c r="F100" s="164"/>
      <c r="G100" s="224"/>
      <c r="H100" s="148"/>
    </row>
    <row r="101" spans="1:10" ht="18.75" x14ac:dyDescent="0.3">
      <c r="C101" s="217" t="s">
        <v>81</v>
      </c>
      <c r="D101" s="218">
        <f>D100*$B$98</f>
        <v>27.777777777777779</v>
      </c>
      <c r="F101" s="164"/>
      <c r="G101" s="222"/>
      <c r="H101" s="148"/>
    </row>
    <row r="102" spans="1:10" ht="19.5" customHeight="1" x14ac:dyDescent="0.3">
      <c r="C102" s="225" t="s">
        <v>82</v>
      </c>
      <c r="D102" s="226">
        <f>D101/B34</f>
        <v>34.714728602504152</v>
      </c>
      <c r="F102" s="168"/>
      <c r="G102" s="222"/>
      <c r="H102" s="148"/>
      <c r="J102" s="227"/>
    </row>
    <row r="103" spans="1:10" ht="18.75" x14ac:dyDescent="0.3">
      <c r="C103" s="228" t="s">
        <v>117</v>
      </c>
      <c r="D103" s="229">
        <f>AVERAGE(E91:E94,G91:G94)</f>
        <v>35001719.633004032</v>
      </c>
      <c r="F103" s="168"/>
      <c r="G103" s="230"/>
      <c r="H103" s="148"/>
      <c r="J103" s="231"/>
    </row>
    <row r="104" spans="1:10" ht="18.75" x14ac:dyDescent="0.3">
      <c r="C104" s="195" t="s">
        <v>84</v>
      </c>
      <c r="D104" s="232">
        <f>STDEV(E91:E94,G91:G94)/D103</f>
        <v>6.2678136269134592E-3</v>
      </c>
      <c r="F104" s="168"/>
      <c r="G104" s="222"/>
      <c r="H104" s="148"/>
      <c r="J104" s="231"/>
    </row>
    <row r="105" spans="1:10" ht="19.5" customHeight="1" x14ac:dyDescent="0.3">
      <c r="C105" s="197" t="s">
        <v>20</v>
      </c>
      <c r="D105" s="233">
        <f>COUNT(E91:E94,G91:G94)</f>
        <v>6</v>
      </c>
      <c r="F105" s="168"/>
      <c r="G105" s="222"/>
      <c r="H105" s="148"/>
      <c r="J105" s="231"/>
    </row>
    <row r="106" spans="1:10" ht="19.5" customHeight="1" x14ac:dyDescent="0.3">
      <c r="A106" s="172"/>
      <c r="B106" s="172"/>
      <c r="C106" s="172"/>
      <c r="D106" s="172"/>
      <c r="E106" s="172"/>
    </row>
    <row r="107" spans="1:10" ht="26.25" customHeight="1" x14ac:dyDescent="0.4">
      <c r="A107" s="122" t="s">
        <v>118</v>
      </c>
      <c r="B107" s="123">
        <v>900</v>
      </c>
      <c r="C107" s="234" t="s">
        <v>119</v>
      </c>
      <c r="D107" s="235" t="s">
        <v>63</v>
      </c>
      <c r="E107" s="236" t="s">
        <v>120</v>
      </c>
      <c r="F107" s="237" t="s">
        <v>121</v>
      </c>
    </row>
    <row r="108" spans="1:10" ht="26.25" customHeight="1" x14ac:dyDescent="0.4">
      <c r="A108" s="124" t="s">
        <v>122</v>
      </c>
      <c r="B108" s="125">
        <v>1</v>
      </c>
      <c r="C108" s="238">
        <v>1</v>
      </c>
      <c r="D108" s="280">
        <v>32860570</v>
      </c>
      <c r="E108" s="268">
        <f t="shared" ref="E108:E113" si="1">IF(ISBLANK(D108),"-",D108/$D$103*$D$100*$B$116)</f>
        <v>18.77654603519246</v>
      </c>
      <c r="F108" s="239">
        <f t="shared" ref="F108:F113" si="2">IF(ISBLANK(D108), "-", E108/$B$56)</f>
        <v>0.93882730175962303</v>
      </c>
    </row>
    <row r="109" spans="1:10" ht="26.25" customHeight="1" x14ac:dyDescent="0.4">
      <c r="A109" s="124" t="s">
        <v>95</v>
      </c>
      <c r="B109" s="125">
        <v>1</v>
      </c>
      <c r="C109" s="238">
        <v>2</v>
      </c>
      <c r="D109" s="280">
        <v>32486050</v>
      </c>
      <c r="E109" s="269">
        <f t="shared" si="1"/>
        <v>18.562545120993462</v>
      </c>
      <c r="F109" s="240">
        <f t="shared" si="2"/>
        <v>0.92812725604967317</v>
      </c>
    </row>
    <row r="110" spans="1:10" ht="26.25" customHeight="1" x14ac:dyDescent="0.4">
      <c r="A110" s="124" t="s">
        <v>96</v>
      </c>
      <c r="B110" s="125">
        <v>1</v>
      </c>
      <c r="C110" s="238">
        <v>3</v>
      </c>
      <c r="D110" s="280">
        <v>30134486</v>
      </c>
      <c r="E110" s="269">
        <f t="shared" si="1"/>
        <v>17.218860282273337</v>
      </c>
      <c r="F110" s="240">
        <f t="shared" si="2"/>
        <v>0.8609430141136668</v>
      </c>
    </row>
    <row r="111" spans="1:10" ht="26.25" customHeight="1" x14ac:dyDescent="0.4">
      <c r="A111" s="124" t="s">
        <v>97</v>
      </c>
      <c r="B111" s="125">
        <v>1</v>
      </c>
      <c r="C111" s="238">
        <v>4</v>
      </c>
      <c r="D111" s="280">
        <v>32187883</v>
      </c>
      <c r="E111" s="269">
        <f t="shared" si="1"/>
        <v>18.392172348954652</v>
      </c>
      <c r="F111" s="240">
        <f t="shared" si="2"/>
        <v>0.91960861744773259</v>
      </c>
    </row>
    <row r="112" spans="1:10" ht="26.25" customHeight="1" x14ac:dyDescent="0.4">
      <c r="A112" s="124" t="s">
        <v>98</v>
      </c>
      <c r="B112" s="125">
        <v>1</v>
      </c>
      <c r="C112" s="238">
        <v>5</v>
      </c>
      <c r="D112" s="280">
        <v>34278664</v>
      </c>
      <c r="E112" s="269">
        <f t="shared" si="1"/>
        <v>19.586845651822067</v>
      </c>
      <c r="F112" s="240">
        <f t="shared" si="2"/>
        <v>0.97934228259110334</v>
      </c>
    </row>
    <row r="113" spans="1:10" ht="26.25" customHeight="1" x14ac:dyDescent="0.4">
      <c r="A113" s="124" t="s">
        <v>100</v>
      </c>
      <c r="B113" s="125">
        <v>1</v>
      </c>
      <c r="C113" s="241">
        <v>6</v>
      </c>
      <c r="D113" s="281">
        <v>35220295</v>
      </c>
      <c r="E113" s="270">
        <f t="shared" si="1"/>
        <v>20.124894073369965</v>
      </c>
      <c r="F113" s="242">
        <f t="shared" si="2"/>
        <v>1.0062447036684983</v>
      </c>
    </row>
    <row r="114" spans="1:10" ht="26.25" customHeight="1" x14ac:dyDescent="0.4">
      <c r="A114" s="124" t="s">
        <v>101</v>
      </c>
      <c r="B114" s="125">
        <v>1</v>
      </c>
      <c r="C114" s="238"/>
      <c r="D114" s="192"/>
      <c r="E114" s="98"/>
      <c r="F114" s="243"/>
    </row>
    <row r="115" spans="1:10" ht="26.25" customHeight="1" x14ac:dyDescent="0.4">
      <c r="A115" s="124" t="s">
        <v>102</v>
      </c>
      <c r="B115" s="125">
        <v>1</v>
      </c>
      <c r="C115" s="238"/>
      <c r="D115" s="244" t="s">
        <v>71</v>
      </c>
      <c r="E115" s="272">
        <f>AVERAGE(E108:E113)</f>
        <v>18.776977252100991</v>
      </c>
      <c r="F115" s="245">
        <f>AVERAGE(F108:F113)</f>
        <v>0.93884886260504963</v>
      </c>
    </row>
    <row r="116" spans="1:10" ht="27" customHeight="1" x14ac:dyDescent="0.4">
      <c r="A116" s="124" t="s">
        <v>103</v>
      </c>
      <c r="B116" s="154">
        <f>(B115/B114)*(B113/B112)*(B111/B110)*(B109/B108)*B107</f>
        <v>900</v>
      </c>
      <c r="C116" s="246"/>
      <c r="D116" s="211" t="s">
        <v>84</v>
      </c>
      <c r="E116" s="247">
        <f>STDEV(E108:E113)/E115</f>
        <v>5.375789860570284E-2</v>
      </c>
      <c r="F116" s="247">
        <f>STDEV(F108:F113)/F115</f>
        <v>5.375789860570284E-2</v>
      </c>
      <c r="I116" s="98"/>
    </row>
    <row r="117" spans="1:10" ht="27" customHeight="1" x14ac:dyDescent="0.4">
      <c r="A117" s="300" t="s">
        <v>78</v>
      </c>
      <c r="B117" s="301"/>
      <c r="C117" s="248"/>
      <c r="D117" s="249" t="s">
        <v>20</v>
      </c>
      <c r="E117" s="250">
        <f>COUNT(E108:E113)</f>
        <v>6</v>
      </c>
      <c r="F117" s="250">
        <f>COUNT(F108:F113)</f>
        <v>6</v>
      </c>
      <c r="I117" s="98"/>
      <c r="J117" s="231"/>
    </row>
    <row r="118" spans="1:10" ht="19.5" customHeight="1" x14ac:dyDescent="0.3">
      <c r="A118" s="302"/>
      <c r="B118" s="303"/>
      <c r="C118" s="98"/>
      <c r="D118" s="98"/>
      <c r="E118" s="98"/>
      <c r="F118" s="192"/>
      <c r="G118" s="98"/>
      <c r="H118" s="98"/>
      <c r="I118" s="98"/>
    </row>
    <row r="119" spans="1:10" ht="18.75" x14ac:dyDescent="0.3">
      <c r="A119" s="259"/>
      <c r="B119" s="120"/>
      <c r="C119" s="98"/>
      <c r="D119" s="98"/>
      <c r="E119" s="98"/>
      <c r="F119" s="192"/>
      <c r="G119" s="98"/>
      <c r="H119" s="98"/>
      <c r="I119" s="98"/>
    </row>
    <row r="120" spans="1:10" ht="26.25" customHeight="1" x14ac:dyDescent="0.4">
      <c r="A120" s="108" t="s">
        <v>106</v>
      </c>
      <c r="B120" s="199" t="s">
        <v>123</v>
      </c>
      <c r="C120" s="304" t="str">
        <f>B20</f>
        <v>Citalopram Hydrpbromide</v>
      </c>
      <c r="D120" s="304"/>
      <c r="E120" s="200" t="s">
        <v>124</v>
      </c>
      <c r="F120" s="200"/>
      <c r="G120" s="201">
        <f>F115</f>
        <v>0.93884886260504963</v>
      </c>
      <c r="H120" s="98"/>
      <c r="I120" s="98"/>
    </row>
    <row r="121" spans="1:10" ht="19.5" customHeight="1" x14ac:dyDescent="0.3">
      <c r="A121" s="251"/>
      <c r="B121" s="251"/>
      <c r="C121" s="252"/>
      <c r="D121" s="252"/>
      <c r="E121" s="252"/>
      <c r="F121" s="252"/>
      <c r="G121" s="252"/>
      <c r="H121" s="252"/>
    </row>
    <row r="122" spans="1:10" ht="18.75" x14ac:dyDescent="0.3">
      <c r="B122" s="305" t="s">
        <v>26</v>
      </c>
      <c r="C122" s="305"/>
      <c r="E122" s="206" t="s">
        <v>27</v>
      </c>
      <c r="F122" s="253"/>
      <c r="G122" s="305" t="s">
        <v>28</v>
      </c>
      <c r="H122" s="305"/>
    </row>
    <row r="123" spans="1:10" ht="45.75" customHeight="1" x14ac:dyDescent="0.3">
      <c r="A123" s="254" t="s">
        <v>29</v>
      </c>
      <c r="B123" s="255"/>
      <c r="C123" s="255"/>
      <c r="E123" s="255"/>
      <c r="F123" s="98"/>
      <c r="G123" s="256"/>
      <c r="H123" s="256"/>
    </row>
    <row r="124" spans="1:10" ht="42" customHeight="1" x14ac:dyDescent="0.3">
      <c r="A124" s="254" t="s">
        <v>30</v>
      </c>
      <c r="B124" s="257"/>
      <c r="C124" s="257"/>
      <c r="E124" s="257"/>
      <c r="F124" s="98"/>
      <c r="G124" s="258"/>
      <c r="H124" s="258"/>
    </row>
    <row r="125" spans="1:10" ht="18.75" x14ac:dyDescent="0.3">
      <c r="A125" s="191"/>
      <c r="B125" s="191"/>
      <c r="C125" s="192"/>
      <c r="D125" s="192"/>
      <c r="E125" s="192"/>
      <c r="F125" s="196"/>
      <c r="G125" s="192"/>
      <c r="H125" s="192"/>
      <c r="I125" s="98"/>
    </row>
    <row r="126" spans="1:10" ht="18.75" x14ac:dyDescent="0.3">
      <c r="A126" s="191"/>
      <c r="B126" s="191"/>
      <c r="C126" s="192"/>
      <c r="D126" s="192"/>
      <c r="E126" s="192"/>
      <c r="F126" s="196"/>
      <c r="G126" s="192"/>
      <c r="H126" s="192"/>
      <c r="I126" s="98"/>
    </row>
    <row r="127" spans="1:10" ht="18.75" x14ac:dyDescent="0.3">
      <c r="A127" s="191"/>
      <c r="B127" s="191"/>
      <c r="C127" s="192"/>
      <c r="D127" s="192"/>
      <c r="E127" s="192"/>
      <c r="F127" s="196"/>
      <c r="G127" s="192"/>
      <c r="H127" s="192"/>
      <c r="I127" s="98"/>
    </row>
    <row r="128" spans="1:10" ht="18.75" x14ac:dyDescent="0.3">
      <c r="A128" s="191"/>
      <c r="B128" s="191"/>
      <c r="C128" s="192"/>
      <c r="D128" s="192"/>
      <c r="E128" s="192"/>
      <c r="F128" s="196"/>
      <c r="G128" s="192"/>
      <c r="H128" s="192"/>
      <c r="I128" s="98"/>
    </row>
    <row r="129" spans="1:9" ht="18.75" x14ac:dyDescent="0.3">
      <c r="A129" s="191"/>
      <c r="B129" s="191"/>
      <c r="C129" s="192"/>
      <c r="D129" s="192"/>
      <c r="E129" s="192"/>
      <c r="F129" s="196"/>
      <c r="G129" s="192"/>
      <c r="H129" s="192"/>
      <c r="I129" s="98"/>
    </row>
    <row r="130" spans="1:9" ht="18.75" x14ac:dyDescent="0.3">
      <c r="A130" s="191"/>
      <c r="B130" s="191"/>
      <c r="C130" s="192"/>
      <c r="D130" s="192"/>
      <c r="E130" s="192"/>
      <c r="F130" s="196"/>
      <c r="G130" s="192"/>
      <c r="H130" s="192"/>
      <c r="I130" s="98"/>
    </row>
    <row r="131" spans="1:9" ht="18.75" x14ac:dyDescent="0.3">
      <c r="A131" s="191"/>
      <c r="B131" s="191"/>
      <c r="C131" s="192"/>
      <c r="D131" s="192"/>
      <c r="E131" s="192"/>
      <c r="F131" s="196"/>
      <c r="G131" s="192"/>
      <c r="H131" s="192"/>
      <c r="I131" s="98"/>
    </row>
    <row r="132" spans="1:9" ht="18.75" x14ac:dyDescent="0.3">
      <c r="A132" s="191"/>
      <c r="B132" s="191"/>
      <c r="C132" s="192"/>
      <c r="D132" s="192"/>
      <c r="E132" s="192"/>
      <c r="F132" s="196"/>
      <c r="G132" s="192"/>
      <c r="H132" s="192"/>
      <c r="I132" s="98"/>
    </row>
    <row r="133" spans="1:9" ht="18.75" x14ac:dyDescent="0.3">
      <c r="A133" s="191"/>
      <c r="B133" s="191"/>
      <c r="C133" s="192"/>
      <c r="D133" s="192"/>
      <c r="E133" s="192"/>
      <c r="F133" s="196"/>
      <c r="G133" s="192"/>
      <c r="H133" s="192"/>
      <c r="I133" s="98"/>
    </row>
    <row r="250" spans="1:1" x14ac:dyDescent="0.25">
      <c r="A250" s="2">
        <v>5</v>
      </c>
    </row>
  </sheetData>
  <sheetProtection password="93F3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CITALOPRAM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2016-03-11T13:43:36Z</cp:lastPrinted>
  <dcterms:created xsi:type="dcterms:W3CDTF">2005-07-05T10:19:27Z</dcterms:created>
  <dcterms:modified xsi:type="dcterms:W3CDTF">2016-03-11T13:43:39Z</dcterms:modified>
</cp:coreProperties>
</file>