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 " sheetId="4" r:id="rId1"/>
    <sheet name="Uniformity" sheetId="2" r:id="rId2"/>
    <sheet name="ornidazole " sheetId="5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6" i="5" l="1"/>
  <c r="F115" i="5"/>
  <c r="F108" i="5"/>
  <c r="D100" i="5"/>
  <c r="H73" i="5"/>
  <c r="H72" i="5"/>
  <c r="B68" i="5"/>
  <c r="B55" i="5"/>
  <c r="F46" i="5"/>
  <c r="D46" i="5"/>
  <c r="D50" i="5"/>
  <c r="G42" i="5"/>
  <c r="E42" i="5"/>
  <c r="G39" i="5"/>
  <c r="G38" i="5"/>
  <c r="E40" i="5"/>
  <c r="E39" i="5"/>
  <c r="E38" i="5"/>
  <c r="F44" i="5"/>
  <c r="D45" i="5"/>
  <c r="B45" i="5"/>
  <c r="B32" i="4"/>
  <c r="B31" i="4"/>
  <c r="E30" i="4"/>
  <c r="D30" i="4"/>
  <c r="C30" i="4"/>
  <c r="B30" i="4"/>
  <c r="D31" i="2"/>
  <c r="D30" i="2"/>
  <c r="D29" i="2"/>
  <c r="D28" i="2"/>
  <c r="D27" i="2"/>
  <c r="D26" i="2"/>
  <c r="D25" i="2"/>
  <c r="D24" i="2"/>
  <c r="C46" i="2"/>
  <c r="B57" i="5" l="1"/>
  <c r="C120" i="5"/>
  <c r="B116" i="5"/>
  <c r="D101" i="5"/>
  <c r="D102" i="5" s="1"/>
  <c r="B98" i="5"/>
  <c r="D97" i="5"/>
  <c r="D98" i="5" s="1"/>
  <c r="F95" i="5"/>
  <c r="D95" i="5"/>
  <c r="I92" i="5" s="1"/>
  <c r="G94" i="5"/>
  <c r="E94" i="5"/>
  <c r="B87" i="5"/>
  <c r="F97" i="5" s="1"/>
  <c r="F98" i="5" s="1"/>
  <c r="B81" i="5"/>
  <c r="B83" i="5" s="1"/>
  <c r="B80" i="5"/>
  <c r="B79" i="5"/>
  <c r="C76" i="5"/>
  <c r="H71" i="5"/>
  <c r="G71" i="5"/>
  <c r="H67" i="5"/>
  <c r="G67" i="5"/>
  <c r="H63" i="5"/>
  <c r="G63" i="5"/>
  <c r="C56" i="5"/>
  <c r="D48" i="5"/>
  <c r="D49" i="5" s="1"/>
  <c r="F42" i="5"/>
  <c r="D42" i="5"/>
  <c r="G41" i="5"/>
  <c r="E41" i="5"/>
  <c r="I39" i="5"/>
  <c r="B34" i="5"/>
  <c r="D44" i="5" s="1"/>
  <c r="B30" i="5"/>
  <c r="B53" i="4"/>
  <c r="E51" i="4"/>
  <c r="D51" i="4"/>
  <c r="C51" i="4"/>
  <c r="B51" i="4"/>
  <c r="B52" i="4" s="1"/>
  <c r="B42" i="4"/>
  <c r="B21" i="4"/>
  <c r="C49" i="2"/>
  <c r="D50" i="2"/>
  <c r="C45" i="2"/>
  <c r="D43" i="2"/>
  <c r="D41" i="2"/>
  <c r="D39" i="2"/>
  <c r="D37" i="2"/>
  <c r="D35" i="2"/>
  <c r="D33" i="2"/>
  <c r="C19" i="2"/>
  <c r="B69" i="5" l="1"/>
  <c r="G91" i="5"/>
  <c r="F99" i="5"/>
  <c r="D99" i="5"/>
  <c r="E93" i="5"/>
  <c r="G40" i="5"/>
  <c r="F45" i="5"/>
  <c r="G92" i="5"/>
  <c r="E91" i="5"/>
  <c r="E92" i="5"/>
  <c r="G93" i="5"/>
  <c r="D32" i="2"/>
  <c r="D36" i="2"/>
  <c r="D40" i="2"/>
  <c r="D49" i="2"/>
  <c r="C50" i="2"/>
  <c r="D34" i="2"/>
  <c r="D38" i="2"/>
  <c r="D42" i="2"/>
  <c r="B49" i="2"/>
  <c r="E95" i="5" l="1"/>
  <c r="D105" i="5"/>
  <c r="D103" i="5"/>
  <c r="D52" i="5"/>
  <c r="G95" i="5"/>
  <c r="E112" i="5" l="1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68" i="5"/>
  <c r="H68" i="5" s="1"/>
  <c r="G69" i="5"/>
  <c r="H69" i="5" s="1"/>
  <c r="G66" i="5"/>
  <c r="H66" i="5" s="1"/>
  <c r="G62" i="5"/>
  <c r="H62" i="5" s="1"/>
  <c r="D51" i="5"/>
  <c r="G64" i="5"/>
  <c r="H64" i="5" s="1"/>
  <c r="G70" i="5"/>
  <c r="H70" i="5" s="1"/>
  <c r="G65" i="5"/>
  <c r="H65" i="5" s="1"/>
  <c r="G61" i="5"/>
  <c r="H61" i="5" s="1"/>
  <c r="G60" i="5"/>
  <c r="E115" i="5" l="1"/>
  <c r="E116" i="5" s="1"/>
  <c r="E117" i="5"/>
  <c r="H60" i="5"/>
  <c r="G74" i="5"/>
  <c r="G72" i="5"/>
  <c r="G73" i="5" s="1"/>
  <c r="H74" i="5" l="1"/>
  <c r="F117" i="5"/>
  <c r="G120" i="5" l="1"/>
  <c r="G76" i="5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<sst xmlns="http://schemas.openxmlformats.org/spreadsheetml/2006/main" count="234" uniqueCount="128">
  <si>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</si>
  <si>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</si>
  <si>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</si>
  <si>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</si>
  <si>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</si>
  <si>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ORNILOR</t>
  </si>
  <si>
    <t>% age Purity:</t>
  </si>
  <si>
    <t>NDQD201509289</t>
  </si>
  <si>
    <t>Weight (mg):</t>
  </si>
  <si>
    <t>Ornidazole</t>
  </si>
  <si>
    <t>Standard Conc (mg/mL):</t>
  </si>
  <si>
    <t>Each film coated tablet contains: Ornidazole 500 mg</t>
  </si>
  <si>
    <t>2015-09-23 08:58:49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</si>
  <si>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</si>
  <si>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</si>
  <si>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</si>
  <si>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</si>
  <si>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</si>
  <si>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</si>
  <si>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</si>
  <si>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</si>
  <si>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</si>
  <si>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</si>
  <si>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</si>
  <si>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</si>
  <si>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</si>
  <si>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</si>
  <si>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</si>
  <si>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</si>
  <si>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</si>
  <si>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</si>
  <si>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</si>
  <si>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</si>
  <si>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</si>
  <si>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</si>
  <si>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</si>
  <si>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</si>
  <si>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</si>
  <si>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</si>
  <si>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</si>
  <si>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</si>
  <si>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</si>
  <si>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</si>
  <si>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</si>
  <si>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</si>
  <si>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</si>
  <si>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</si>
  <si>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</si>
  <si>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</si>
  <si>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</si>
  <si>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</si>
  <si>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</si>
  <si>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</si>
  <si>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</si>
  <si>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</si>
  <si>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</si>
  <si>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</si>
  <si>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</si>
  <si>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</si>
  <si>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</si>
  <si>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</si>
  <si>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</si>
  <si>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</si>
  <si>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</si>
  <si>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</si>
  <si>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</si>
  <si>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</si>
  <si>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</si>
  <si>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</si>
  <si>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</si>
  <si>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</si>
  <si>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</si>
  <si>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</si>
  <si>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</si>
  <si>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</si>
  <si>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</si>
  <si>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</si>
  <si>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</si>
  <si>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</si>
  <si>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</si>
  <si>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</si>
  <si>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</si>
  <si>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</si>
  <si>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</si>
  <si>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</si>
  <si>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</si>
  <si>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</si>
  <si>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</si>
  <si>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</si>
  <si>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</si>
  <si>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</si>
  <si>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</si>
  <si>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</si>
  <si>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</si>
  <si>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</si>
  <si>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</si>
  <si>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</si>
  <si>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</si>
  <si>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</si>
  <si>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</si>
  <si>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</si>
  <si>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</si>
  <si>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</si>
  <si>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</si>
  <si>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</si>
  <si>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</si>
  <si>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</si>
  <si>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</si>
  <si>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</si>
  <si>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</si>
  <si>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</si>
  <si>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</si>
  <si>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</si>
  <si>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</si>
  <si>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</si>
  <si>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</si>
  <si>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</si>
  <si>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</si>
  <si>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</si>
  <si>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</si>
  <si>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</si>
  <si>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Ofloxacin</t>
  </si>
  <si>
    <t>O17 3</t>
  </si>
  <si>
    <t>ORNILOR TABLETS</t>
  </si>
  <si>
    <t>N. MWAURA</t>
  </si>
  <si>
    <t>Each tablet contains Ornidazole 500 mg</t>
  </si>
  <si>
    <t>Average Tablet Weight (mg):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</si>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</sst>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d\-mmm\-yyyy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9" fontId="25" fillId="0" borderId="0" applyFont="0" applyFill="0" applyBorder="0" applyAlignment="0" applyProtection="0"/>
  </cellStyleXfs>
  <cellXfs count="31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1" applyFont="1" applyFill="1" applyAlignment="1">
      <alignment horizontal="center"/>
    </xf>
    <xf numFmtId="0" fontId="5" fillId="3" borderId="0" xfId="1" applyFont="1" applyFill="1" applyAlignment="1" applyProtection="1">
      <alignment horizontal="left" wrapText="1"/>
      <protection locked="0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2" fillId="2" borderId="0" xfId="1" applyFont="1" applyFill="1" applyBorder="1"/>
    <xf numFmtId="0" fontId="24" fillId="2" borderId="0" xfId="1" applyFill="1" applyBorder="1"/>
    <xf numFmtId="0" fontId="15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vertical="center" wrapText="1"/>
    </xf>
    <xf numFmtId="0" fontId="18" fillId="2" borderId="0" xfId="1" applyFont="1" applyFill="1" applyBorder="1"/>
    <xf numFmtId="0" fontId="11" fillId="2" borderId="0" xfId="1" applyFont="1" applyFill="1" applyBorder="1"/>
    <xf numFmtId="0" fontId="4" fillId="2" borderId="0" xfId="1" applyFont="1" applyFill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10" fontId="6" fillId="8" borderId="14" xfId="0" applyNumberFormat="1" applyFont="1" applyFill="1" applyBorder="1" applyAlignment="1">
      <alignment horizontal="center"/>
    </xf>
    <xf numFmtId="10" fontId="6" fillId="8" borderId="13" xfId="0" applyNumberFormat="1" applyFont="1" applyFill="1" applyBorder="1" applyAlignment="1">
      <alignment horizontal="center"/>
    </xf>
    <xf numFmtId="173" fontId="5" fillId="2" borderId="11" xfId="0" applyNumberFormat="1" applyFont="1" applyFill="1" applyBorder="1"/>
    <xf numFmtId="0" fontId="5" fillId="2" borderId="11" xfId="0" applyFont="1" applyFill="1" applyBorder="1" applyAlignment="1">
      <alignment horizontal="center"/>
    </xf>
    <xf numFmtId="10" fontId="5" fillId="2" borderId="0" xfId="2" applyNumberFormat="1" applyFont="1" applyFill="1" applyBorder="1" applyAlignment="1">
      <alignment horizontal="center"/>
    </xf>
    <xf numFmtId="10" fontId="2" fillId="2" borderId="0" xfId="2" applyNumberFormat="1" applyFont="1" applyFill="1"/>
    <xf numFmtId="0" fontId="5" fillId="2" borderId="0" xfId="0" applyFont="1" applyFill="1" applyAlignment="1">
      <alignment horizontal="center"/>
    </xf>
    <xf numFmtId="173" fontId="5" fillId="2" borderId="11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19" sqref="B19"/>
    </sheetView>
  </sheetViews>
  <sheetFormatPr defaultColWidth="9.109375" defaultRowHeight="13.8" x14ac:dyDescent="0.3"/>
  <cols>
    <col min="1" max="1" width="27.5546875" style="45" customWidth="1"/>
    <col min="2" max="2" width="20.44140625" style="45" customWidth="1"/>
    <col min="3" max="3" width="31.88671875" style="45" customWidth="1"/>
    <col min="4" max="4" width="25.88671875" style="45" customWidth="1"/>
    <col min="5" max="5" width="25.6640625" style="45" customWidth="1"/>
    <col min="6" max="6" width="23.109375" style="45" customWidth="1"/>
    <col min="7" max="7" width="28.44140625" style="45" customWidth="1"/>
    <col min="8" max="8" width="21.5546875" style="45" customWidth="1"/>
    <col min="9" max="9" width="9.109375" style="45" customWidth="1"/>
    <col min="10" max="16384" width="9.109375" style="81"/>
  </cols>
  <sheetData>
    <row r="14" spans="1:6" ht="15" customHeight="1" x14ac:dyDescent="0.3">
      <c r="A14" s="44"/>
      <c r="C14" s="46"/>
      <c r="F14" s="46"/>
    </row>
    <row r="15" spans="1:6" ht="18.75" customHeight="1" x14ac:dyDescent="0.35">
      <c r="A15" s="247" t="s">
        <v>0</v>
      </c>
      <c r="B15" s="247"/>
      <c r="C15" s="247"/>
      <c r="D15" s="247"/>
      <c r="E15" s="247"/>
    </row>
    <row r="16" spans="1:6" ht="16.5" customHeight="1" x14ac:dyDescent="0.3">
      <c r="A16" s="47" t="s">
        <v>1</v>
      </c>
      <c r="B16" s="304" t="s">
        <v>2</v>
      </c>
    </row>
    <row r="17" spans="1:5" ht="16.5" customHeight="1" x14ac:dyDescent="0.3">
      <c r="A17" s="49" t="s">
        <v>3</v>
      </c>
      <c r="B17" s="248" t="s">
        <v>123</v>
      </c>
      <c r="C17" s="248"/>
      <c r="D17" s="50"/>
      <c r="E17" s="51"/>
    </row>
    <row r="18" spans="1:5" ht="16.5" customHeight="1" x14ac:dyDescent="0.3">
      <c r="A18" s="52" t="s">
        <v>4</v>
      </c>
      <c r="B18" s="50" t="s">
        <v>9</v>
      </c>
      <c r="C18" s="51"/>
      <c r="D18" s="51"/>
      <c r="E18" s="51"/>
    </row>
    <row r="19" spans="1:5" ht="16.5" customHeight="1" x14ac:dyDescent="0.3">
      <c r="A19" s="52" t="s">
        <v>6</v>
      </c>
      <c r="B19" s="53">
        <v>98.57</v>
      </c>
      <c r="C19" s="51"/>
      <c r="D19" s="51"/>
      <c r="E19" s="51"/>
    </row>
    <row r="20" spans="1:5" ht="16.5" customHeight="1" x14ac:dyDescent="0.3">
      <c r="A20" s="49" t="s">
        <v>8</v>
      </c>
      <c r="B20" s="53">
        <v>24.21</v>
      </c>
      <c r="C20" s="51"/>
      <c r="D20" s="51"/>
      <c r="E20" s="51"/>
    </row>
    <row r="21" spans="1:5" ht="16.5" customHeight="1" x14ac:dyDescent="0.3">
      <c r="A21" s="49" t="s">
        <v>10</v>
      </c>
      <c r="B21" s="54">
        <f>B20/50*5/50</f>
        <v>4.8420000000000005E-2</v>
      </c>
      <c r="C21" s="51"/>
      <c r="D21" s="51"/>
      <c r="E21" s="51"/>
    </row>
    <row r="22" spans="1:5" ht="15.75" customHeight="1" x14ac:dyDescent="0.3">
      <c r="A22" s="51"/>
      <c r="B22" s="51"/>
      <c r="C22" s="51"/>
      <c r="D22" s="51"/>
      <c r="E22" s="51"/>
    </row>
    <row r="23" spans="1:5" ht="16.5" customHeight="1" x14ac:dyDescent="0.3">
      <c r="A23" s="55" t="s">
        <v>13</v>
      </c>
      <c r="B23" s="56" t="s">
        <v>14</v>
      </c>
      <c r="C23" s="55" t="s">
        <v>15</v>
      </c>
      <c r="D23" s="55" t="s">
        <v>16</v>
      </c>
      <c r="E23" s="55" t="s">
        <v>17</v>
      </c>
    </row>
    <row r="24" spans="1:5" ht="16.5" customHeight="1" x14ac:dyDescent="0.3">
      <c r="A24" s="57">
        <v>1</v>
      </c>
      <c r="B24" s="58">
        <v>23288510</v>
      </c>
      <c r="C24" s="58">
        <v>11098.1</v>
      </c>
      <c r="D24" s="59">
        <v>1.2</v>
      </c>
      <c r="E24" s="60">
        <v>4.9000000000000004</v>
      </c>
    </row>
    <row r="25" spans="1:5" ht="16.5" customHeight="1" x14ac:dyDescent="0.3">
      <c r="A25" s="57">
        <v>2</v>
      </c>
      <c r="B25" s="58">
        <v>23249095</v>
      </c>
      <c r="C25" s="58">
        <v>11143.9</v>
      </c>
      <c r="D25" s="59">
        <v>1.1000000000000001</v>
      </c>
      <c r="E25" s="59">
        <v>4.9000000000000004</v>
      </c>
    </row>
    <row r="26" spans="1:5" ht="16.5" customHeight="1" x14ac:dyDescent="0.3">
      <c r="A26" s="57">
        <v>3</v>
      </c>
      <c r="B26" s="58">
        <v>23328989</v>
      </c>
      <c r="C26" s="58">
        <v>11009.6</v>
      </c>
      <c r="D26" s="59">
        <v>1.1000000000000001</v>
      </c>
      <c r="E26" s="59">
        <v>4.9000000000000004</v>
      </c>
    </row>
    <row r="27" spans="1:5" ht="16.5" customHeight="1" x14ac:dyDescent="0.3">
      <c r="A27" s="57">
        <v>4</v>
      </c>
      <c r="B27" s="58">
        <v>23294272</v>
      </c>
      <c r="C27" s="58">
        <v>11059.2</v>
      </c>
      <c r="D27" s="59">
        <v>1.1000000000000001</v>
      </c>
      <c r="E27" s="59">
        <v>4.9000000000000004</v>
      </c>
    </row>
    <row r="28" spans="1:5" ht="16.5" customHeight="1" x14ac:dyDescent="0.3">
      <c r="A28" s="57">
        <v>5</v>
      </c>
      <c r="B28" s="58">
        <v>23301534</v>
      </c>
      <c r="C28" s="58">
        <v>11122.2</v>
      </c>
      <c r="D28" s="59">
        <v>1.1000000000000001</v>
      </c>
      <c r="E28" s="59">
        <v>4.9000000000000004</v>
      </c>
    </row>
    <row r="29" spans="1:5" ht="16.5" customHeight="1" x14ac:dyDescent="0.3">
      <c r="A29" s="57">
        <v>6</v>
      </c>
      <c r="B29" s="61">
        <v>23248732</v>
      </c>
      <c r="C29" s="61">
        <v>11045.6</v>
      </c>
      <c r="D29" s="62">
        <v>1.1000000000000001</v>
      </c>
      <c r="E29" s="62">
        <v>4.9000000000000004</v>
      </c>
    </row>
    <row r="30" spans="1:5" ht="16.5" customHeight="1" x14ac:dyDescent="0.3">
      <c r="A30" s="63" t="s">
        <v>18</v>
      </c>
      <c r="B30" s="64">
        <f>AVERAGE(B24:B29)</f>
        <v>23285188.666666668</v>
      </c>
      <c r="C30" s="65">
        <f>AVERAGE(C24:C29)</f>
        <v>11079.766666666668</v>
      </c>
      <c r="D30" s="66">
        <f>AVERAGE(D24:D29)</f>
        <v>1.1166666666666665</v>
      </c>
      <c r="E30" s="66">
        <f>AVERAGE(E24:E29)</f>
        <v>4.8999999999999995</v>
      </c>
    </row>
    <row r="31" spans="1:5" ht="16.5" customHeight="1" x14ac:dyDescent="0.3">
      <c r="A31" s="67" t="s">
        <v>19</v>
      </c>
      <c r="B31" s="68">
        <f>(STDEV(B24:B29)/B30)</f>
        <v>1.3459255203289824E-3</v>
      </c>
      <c r="C31" s="69"/>
      <c r="D31" s="69"/>
      <c r="E31" s="70"/>
    </row>
    <row r="32" spans="1:5" s="45" customFormat="1" ht="16.5" customHeight="1" x14ac:dyDescent="0.3">
      <c r="A32" s="71" t="s">
        <v>20</v>
      </c>
      <c r="B32" s="72">
        <f>COUNT(B24:B29)</f>
        <v>6</v>
      </c>
      <c r="C32" s="73"/>
      <c r="D32" s="74"/>
      <c r="E32" s="75"/>
    </row>
    <row r="33" spans="1:5" s="45" customFormat="1" ht="15.75" customHeight="1" x14ac:dyDescent="0.3">
      <c r="A33" s="51"/>
      <c r="B33" s="51"/>
      <c r="C33" s="51"/>
      <c r="D33" s="51"/>
      <c r="E33" s="51"/>
    </row>
    <row r="34" spans="1:5" s="45" customFormat="1" ht="16.5" customHeight="1" x14ac:dyDescent="0.3">
      <c r="A34" s="52" t="s">
        <v>21</v>
      </c>
      <c r="B34" s="76" t="s">
        <v>22</v>
      </c>
      <c r="C34" s="77"/>
      <c r="D34" s="77"/>
      <c r="E34" s="77"/>
    </row>
    <row r="35" spans="1:5" ht="16.5" customHeight="1" x14ac:dyDescent="0.3">
      <c r="A35" s="52"/>
      <c r="B35" s="76" t="s">
        <v>23</v>
      </c>
      <c r="C35" s="77"/>
      <c r="D35" s="77"/>
      <c r="E35" s="77"/>
    </row>
    <row r="36" spans="1:5" ht="16.5" customHeight="1" x14ac:dyDescent="0.3">
      <c r="A36" s="52"/>
      <c r="B36" s="76" t="s">
        <v>24</v>
      </c>
      <c r="C36" s="77"/>
      <c r="D36" s="77"/>
      <c r="E36" s="77"/>
    </row>
    <row r="37" spans="1:5" ht="15.75" customHeight="1" x14ac:dyDescent="0.3">
      <c r="A37" s="51"/>
      <c r="B37" s="51"/>
      <c r="C37" s="51"/>
      <c r="D37" s="51"/>
      <c r="E37" s="51"/>
    </row>
    <row r="38" spans="1:5" ht="16.5" customHeight="1" x14ac:dyDescent="0.3">
      <c r="A38" s="47" t="s">
        <v>1</v>
      </c>
      <c r="B38" s="48"/>
    </row>
    <row r="39" spans="1:5" ht="16.5" customHeight="1" x14ac:dyDescent="0.3">
      <c r="A39" s="52" t="s">
        <v>4</v>
      </c>
      <c r="B39" s="49" t="s">
        <v>121</v>
      </c>
      <c r="C39" s="51"/>
      <c r="D39" s="51"/>
      <c r="E39" s="51"/>
    </row>
    <row r="40" spans="1:5" ht="16.5" customHeight="1" x14ac:dyDescent="0.3">
      <c r="A40" s="52" t="s">
        <v>6</v>
      </c>
      <c r="B40" s="53">
        <v>98.57</v>
      </c>
      <c r="C40" s="51"/>
      <c r="D40" s="51"/>
      <c r="E40" s="51"/>
    </row>
    <row r="41" spans="1:5" ht="16.5" customHeight="1" x14ac:dyDescent="0.3">
      <c r="A41" s="49" t="s">
        <v>8</v>
      </c>
      <c r="B41" s="53">
        <v>20.94</v>
      </c>
      <c r="C41" s="51"/>
      <c r="D41" s="51"/>
      <c r="E41" s="51"/>
    </row>
    <row r="42" spans="1:5" ht="16.5" customHeight="1" x14ac:dyDescent="0.3">
      <c r="A42" s="49" t="s">
        <v>10</v>
      </c>
      <c r="B42" s="54">
        <f>B41/50*5/50</f>
        <v>4.1880000000000001E-2</v>
      </c>
      <c r="C42" s="51"/>
      <c r="D42" s="51"/>
      <c r="E42" s="51"/>
    </row>
    <row r="43" spans="1:5" ht="15.75" customHeight="1" x14ac:dyDescent="0.3">
      <c r="A43" s="51"/>
      <c r="B43" s="51"/>
      <c r="C43" s="51"/>
      <c r="D43" s="51"/>
      <c r="E43" s="51"/>
    </row>
    <row r="44" spans="1:5" ht="16.5" customHeight="1" x14ac:dyDescent="0.3">
      <c r="A44" s="55" t="s">
        <v>13</v>
      </c>
      <c r="B44" s="56" t="s">
        <v>14</v>
      </c>
      <c r="C44" s="55" t="s">
        <v>15</v>
      </c>
      <c r="D44" s="55" t="s">
        <v>16</v>
      </c>
      <c r="E44" s="55" t="s">
        <v>17</v>
      </c>
    </row>
    <row r="45" spans="1:5" ht="16.5" customHeight="1" x14ac:dyDescent="0.3">
      <c r="A45" s="57">
        <v>1</v>
      </c>
      <c r="B45" s="58">
        <v>76521496</v>
      </c>
      <c r="C45" s="58">
        <v>4716.7</v>
      </c>
      <c r="D45" s="59">
        <v>0.9</v>
      </c>
      <c r="E45" s="60">
        <v>3.3</v>
      </c>
    </row>
    <row r="46" spans="1:5" ht="16.5" customHeight="1" x14ac:dyDescent="0.3">
      <c r="A46" s="57">
        <v>2</v>
      </c>
      <c r="B46" s="58">
        <v>76602104</v>
      </c>
      <c r="C46" s="58">
        <v>4737.8999999999996</v>
      </c>
      <c r="D46" s="59">
        <v>0.9</v>
      </c>
      <c r="E46" s="59">
        <v>3.3</v>
      </c>
    </row>
    <row r="47" spans="1:5" ht="16.5" customHeight="1" x14ac:dyDescent="0.3">
      <c r="A47" s="57">
        <v>3</v>
      </c>
      <c r="B47" s="58">
        <v>76764520</v>
      </c>
      <c r="C47" s="58">
        <v>4720.8</v>
      </c>
      <c r="D47" s="59">
        <v>0.9</v>
      </c>
      <c r="E47" s="59">
        <v>3.3</v>
      </c>
    </row>
    <row r="48" spans="1:5" ht="16.5" customHeight="1" x14ac:dyDescent="0.3">
      <c r="A48" s="57">
        <v>4</v>
      </c>
      <c r="B48" s="58">
        <v>76869137</v>
      </c>
      <c r="C48" s="58">
        <v>4731.3</v>
      </c>
      <c r="D48" s="59">
        <v>0.9</v>
      </c>
      <c r="E48" s="59">
        <v>3.3</v>
      </c>
    </row>
    <row r="49" spans="1:7" ht="16.5" customHeight="1" x14ac:dyDescent="0.3">
      <c r="A49" s="57">
        <v>5</v>
      </c>
      <c r="B49" s="58">
        <v>76848879</v>
      </c>
      <c r="C49" s="58">
        <v>4721.3</v>
      </c>
      <c r="D49" s="59">
        <v>0.9</v>
      </c>
      <c r="E49" s="59">
        <v>3.3</v>
      </c>
    </row>
    <row r="50" spans="1:7" ht="16.5" customHeight="1" x14ac:dyDescent="0.3">
      <c r="A50" s="57">
        <v>6</v>
      </c>
      <c r="B50" s="61">
        <v>76729276</v>
      </c>
      <c r="C50" s="61">
        <v>4696.3999999999996</v>
      </c>
      <c r="D50" s="62">
        <v>0.9</v>
      </c>
      <c r="E50" s="62">
        <v>3.3</v>
      </c>
    </row>
    <row r="51" spans="1:7" ht="16.5" customHeight="1" x14ac:dyDescent="0.3">
      <c r="A51" s="63" t="s">
        <v>18</v>
      </c>
      <c r="B51" s="64">
        <f>AVERAGE(B45:B50)</f>
        <v>76722568.666666672</v>
      </c>
      <c r="C51" s="65">
        <f>AVERAGE(C45:C50)</f>
        <v>4720.7333333333327</v>
      </c>
      <c r="D51" s="66">
        <f>AVERAGE(D45:D50)</f>
        <v>0.9</v>
      </c>
      <c r="E51" s="66">
        <f>AVERAGE(E45:E50)</f>
        <v>3.3000000000000003</v>
      </c>
    </row>
    <row r="52" spans="1:7" ht="16.5" customHeight="1" x14ac:dyDescent="0.3">
      <c r="A52" s="67" t="s">
        <v>19</v>
      </c>
      <c r="B52" s="68">
        <f>(STDEV(B45:B50)/B51)</f>
        <v>1.7888713987441404E-3</v>
      </c>
      <c r="C52" s="69"/>
      <c r="D52" s="69"/>
      <c r="E52" s="70"/>
    </row>
    <row r="53" spans="1:7" s="45" customFormat="1" ht="16.5" customHeight="1" x14ac:dyDescent="0.3">
      <c r="A53" s="71" t="s">
        <v>20</v>
      </c>
      <c r="B53" s="72">
        <f>COUNT(B45:B50)</f>
        <v>6</v>
      </c>
      <c r="C53" s="73"/>
      <c r="D53" s="74"/>
      <c r="E53" s="75"/>
    </row>
    <row r="54" spans="1:7" s="45" customFormat="1" ht="15.75" customHeight="1" x14ac:dyDescent="0.3">
      <c r="A54" s="51"/>
      <c r="B54" s="51"/>
      <c r="C54" s="51"/>
      <c r="D54" s="51"/>
      <c r="E54" s="51"/>
    </row>
    <row r="55" spans="1:7" s="45" customFormat="1" ht="16.5" customHeight="1" x14ac:dyDescent="0.3">
      <c r="A55" s="52" t="s">
        <v>21</v>
      </c>
      <c r="B55" s="76" t="s">
        <v>22</v>
      </c>
      <c r="C55" s="77"/>
      <c r="D55" s="77"/>
      <c r="E55" s="77"/>
    </row>
    <row r="56" spans="1:7" ht="16.5" customHeight="1" x14ac:dyDescent="0.3">
      <c r="A56" s="52"/>
      <c r="B56" s="76" t="s">
        <v>23</v>
      </c>
      <c r="C56" s="77"/>
      <c r="D56" s="77"/>
      <c r="E56" s="77"/>
    </row>
    <row r="57" spans="1:7" ht="16.5" customHeight="1" x14ac:dyDescent="0.3">
      <c r="A57" s="52"/>
      <c r="B57" s="76" t="s">
        <v>24</v>
      </c>
      <c r="C57" s="77"/>
      <c r="D57" s="77"/>
      <c r="E57" s="77"/>
    </row>
    <row r="58" spans="1:7" ht="14.25" customHeight="1" thickBot="1" x14ac:dyDescent="0.35">
      <c r="A58" s="78"/>
      <c r="B58" s="79"/>
      <c r="D58" s="80"/>
      <c r="F58" s="81"/>
      <c r="G58" s="81"/>
    </row>
    <row r="59" spans="1:7" ht="15" customHeight="1" x14ac:dyDescent="0.3">
      <c r="B59" s="249" t="s">
        <v>25</v>
      </c>
      <c r="C59" s="249"/>
      <c r="E59" s="82" t="s">
        <v>26</v>
      </c>
      <c r="F59" s="83"/>
      <c r="G59" s="82" t="s">
        <v>27</v>
      </c>
    </row>
    <row r="60" spans="1:7" ht="15" customHeight="1" x14ac:dyDescent="0.3">
      <c r="A60" s="84" t="s">
        <v>28</v>
      </c>
      <c r="B60" s="85"/>
      <c r="C60" s="85"/>
      <c r="E60" s="85"/>
      <c r="G60" s="85"/>
    </row>
    <row r="61" spans="1:7" ht="25.8" customHeight="1" x14ac:dyDescent="0.3">
      <c r="A61" s="84" t="s">
        <v>29</v>
      </c>
      <c r="B61" s="86"/>
      <c r="C61" s="86" t="s">
        <v>124</v>
      </c>
      <c r="E61" s="309">
        <v>42415</v>
      </c>
      <c r="G61" s="87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B54" sqref="B54:D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53" t="s">
        <v>30</v>
      </c>
      <c r="B11" s="254"/>
      <c r="C11" s="254"/>
      <c r="D11" s="254"/>
      <c r="E11" s="254"/>
      <c r="F11" s="255"/>
      <c r="G11" s="39"/>
    </row>
    <row r="12" spans="1:7" ht="16.5" customHeight="1" x14ac:dyDescent="0.3">
      <c r="A12" s="252" t="s">
        <v>31</v>
      </c>
      <c r="B12" s="252"/>
      <c r="C12" s="252"/>
      <c r="D12" s="252"/>
      <c r="E12" s="252"/>
      <c r="F12" s="252"/>
      <c r="G12" s="38"/>
    </row>
    <row r="14" spans="1:7" ht="16.5" customHeight="1" x14ac:dyDescent="0.3">
      <c r="A14" s="257" t="s">
        <v>32</v>
      </c>
      <c r="B14" s="257"/>
      <c r="C14" s="10" t="s">
        <v>5</v>
      </c>
    </row>
    <row r="15" spans="1:7" ht="16.5" customHeight="1" x14ac:dyDescent="0.3">
      <c r="A15" s="257" t="s">
        <v>33</v>
      </c>
      <c r="B15" s="257"/>
      <c r="C15" s="10" t="s">
        <v>7</v>
      </c>
    </row>
    <row r="16" spans="1:7" ht="16.5" customHeight="1" x14ac:dyDescent="0.3">
      <c r="A16" s="257" t="s">
        <v>34</v>
      </c>
      <c r="B16" s="257"/>
      <c r="C16" s="10" t="s">
        <v>9</v>
      </c>
    </row>
    <row r="17" spans="1:5" ht="16.5" customHeight="1" x14ac:dyDescent="0.3">
      <c r="A17" s="257" t="s">
        <v>35</v>
      </c>
      <c r="B17" s="257"/>
      <c r="C17" s="10" t="s">
        <v>11</v>
      </c>
    </row>
    <row r="18" spans="1:5" ht="16.5" customHeight="1" x14ac:dyDescent="0.3">
      <c r="A18" s="257" t="s">
        <v>36</v>
      </c>
      <c r="B18" s="257"/>
      <c r="C18" s="43" t="s">
        <v>12</v>
      </c>
    </row>
    <row r="19" spans="1:5" ht="16.5" customHeight="1" x14ac:dyDescent="0.3">
      <c r="A19" s="257" t="s">
        <v>37</v>
      </c>
      <c r="B19" s="257"/>
      <c r="C19" s="43" t="e">
        <f>#REF!</f>
        <v>#REF!</v>
      </c>
    </row>
    <row r="20" spans="1:5" ht="16.5" customHeight="1" x14ac:dyDescent="0.3">
      <c r="A20" s="12"/>
      <c r="B20" s="12"/>
      <c r="C20" s="26"/>
    </row>
    <row r="21" spans="1:5" ht="16.5" customHeight="1" x14ac:dyDescent="0.3">
      <c r="A21" s="252" t="s">
        <v>1</v>
      </c>
      <c r="B21" s="252"/>
      <c r="C21" s="9" t="s">
        <v>38</v>
      </c>
      <c r="D21" s="16"/>
    </row>
    <row r="22" spans="1:5" ht="15.75" customHeight="1" x14ac:dyDescent="0.3">
      <c r="A22" s="256"/>
      <c r="B22" s="256"/>
      <c r="C22" s="7"/>
      <c r="D22" s="256"/>
      <c r="E22" s="256"/>
    </row>
    <row r="23" spans="1:5" ht="33.75" customHeight="1" x14ac:dyDescent="0.3">
      <c r="C23" s="35" t="s">
        <v>39</v>
      </c>
      <c r="D23" s="34" t="s">
        <v>40</v>
      </c>
      <c r="E23" s="2"/>
    </row>
    <row r="24" spans="1:5" ht="15.75" customHeight="1" x14ac:dyDescent="0.3">
      <c r="C24" s="305">
        <v>787.58</v>
      </c>
      <c r="D24" s="308">
        <f>(C24-$C$46)/$C$46</f>
        <v>-5.0922048546883369E-2</v>
      </c>
      <c r="E24" s="3"/>
    </row>
    <row r="25" spans="1:5" ht="15.75" customHeight="1" x14ac:dyDescent="0.3">
      <c r="C25" s="305">
        <v>846.18</v>
      </c>
      <c r="D25" s="36">
        <f>(C25-$C$46)/$C$46</f>
        <v>1.9694229107643846E-2</v>
      </c>
      <c r="E25" s="3"/>
    </row>
    <row r="26" spans="1:5" ht="15.75" customHeight="1" x14ac:dyDescent="0.3">
      <c r="C26" s="305">
        <v>822.24</v>
      </c>
      <c r="D26" s="36">
        <f>(C26-$C$46)/$C$46</f>
        <v>-9.1548099205025716E-3</v>
      </c>
      <c r="E26" s="3"/>
    </row>
    <row r="27" spans="1:5" ht="15.75" customHeight="1" x14ac:dyDescent="0.3">
      <c r="C27" s="305">
        <v>822.26</v>
      </c>
      <c r="D27" s="36">
        <f>(C27-$C$46)/$C$46</f>
        <v>-9.1307088018491717E-3</v>
      </c>
      <c r="E27" s="3"/>
    </row>
    <row r="28" spans="1:5" ht="15.75" customHeight="1" x14ac:dyDescent="0.3">
      <c r="C28" s="305">
        <v>871.93</v>
      </c>
      <c r="D28" s="307">
        <f>(C28-$C$46)/$C$46</f>
        <v>5.072441937392505E-2</v>
      </c>
      <c r="E28" s="3"/>
    </row>
    <row r="29" spans="1:5" ht="15.75" customHeight="1" x14ac:dyDescent="0.3">
      <c r="C29" s="305">
        <v>839.65</v>
      </c>
      <c r="D29" s="36">
        <f>(C29-$C$46)/$C$46</f>
        <v>1.1825213867301497E-2</v>
      </c>
      <c r="E29" s="3"/>
    </row>
    <row r="30" spans="1:5" ht="15.75" customHeight="1" x14ac:dyDescent="0.3">
      <c r="C30" s="305">
        <v>834.48</v>
      </c>
      <c r="D30" s="36">
        <f>(C30-$C$46)/$C$46</f>
        <v>5.5950746953918841E-3</v>
      </c>
      <c r="E30" s="3"/>
    </row>
    <row r="31" spans="1:5" ht="15.75" customHeight="1" x14ac:dyDescent="0.3">
      <c r="C31" s="305">
        <v>839.7</v>
      </c>
      <c r="D31" s="36">
        <f>(C31-$C$46)/$C$46</f>
        <v>1.1885466663935137E-2</v>
      </c>
      <c r="E31" s="3"/>
    </row>
    <row r="32" spans="1:5" ht="15.75" customHeight="1" x14ac:dyDescent="0.3">
      <c r="C32" s="305">
        <v>818.54</v>
      </c>
      <c r="D32" s="36">
        <f t="shared" ref="D24:D43" si="0">(C32-$C$46)/$C$46</f>
        <v>-1.3613516871385751E-2</v>
      </c>
      <c r="E32" s="3"/>
    </row>
    <row r="33" spans="1:7" ht="15.75" customHeight="1" x14ac:dyDescent="0.3">
      <c r="C33" s="305">
        <v>826.26</v>
      </c>
      <c r="D33" s="36">
        <f t="shared" si="0"/>
        <v>-4.3104850711647123E-3</v>
      </c>
      <c r="E33" s="3"/>
    </row>
    <row r="34" spans="1:7" ht="15.75" customHeight="1" x14ac:dyDescent="0.3">
      <c r="C34" s="305">
        <v>868.2</v>
      </c>
      <c r="D34" s="36">
        <f t="shared" si="0"/>
        <v>4.6229560745061904E-2</v>
      </c>
      <c r="E34" s="3"/>
    </row>
    <row r="35" spans="1:7" ht="15.75" customHeight="1" x14ac:dyDescent="0.3">
      <c r="C35" s="305">
        <v>818.07</v>
      </c>
      <c r="D35" s="36">
        <f t="shared" si="0"/>
        <v>-1.4179893159741072E-2</v>
      </c>
      <c r="E35" s="3"/>
    </row>
    <row r="36" spans="1:7" ht="15.75" customHeight="1" x14ac:dyDescent="0.3">
      <c r="C36" s="305">
        <v>815.71</v>
      </c>
      <c r="D36" s="36">
        <f t="shared" si="0"/>
        <v>-1.702382516084492E-2</v>
      </c>
      <c r="E36" s="3"/>
    </row>
    <row r="37" spans="1:7" ht="15.75" customHeight="1" x14ac:dyDescent="0.3">
      <c r="C37" s="305">
        <v>809.47</v>
      </c>
      <c r="D37" s="36">
        <f t="shared" si="0"/>
        <v>-2.4543374180712684E-2</v>
      </c>
      <c r="E37" s="3"/>
    </row>
    <row r="38" spans="1:7" ht="15.75" customHeight="1" x14ac:dyDescent="0.3">
      <c r="C38" s="305">
        <v>786.53</v>
      </c>
      <c r="D38" s="307">
        <f t="shared" si="0"/>
        <v>-5.2187357276188125E-2</v>
      </c>
      <c r="E38" s="3"/>
    </row>
    <row r="39" spans="1:7" ht="15.75" customHeight="1" x14ac:dyDescent="0.3">
      <c r="C39" s="305">
        <v>854.07</v>
      </c>
      <c r="D39" s="36">
        <f t="shared" si="0"/>
        <v>2.9202120416419061E-2</v>
      </c>
      <c r="E39" s="3"/>
    </row>
    <row r="40" spans="1:7" ht="15.75" customHeight="1" x14ac:dyDescent="0.3">
      <c r="C40" s="305">
        <v>822.77</v>
      </c>
      <c r="D40" s="36">
        <f t="shared" si="0"/>
        <v>-8.5161302761869138E-3</v>
      </c>
      <c r="E40" s="3"/>
    </row>
    <row r="41" spans="1:7" ht="15.75" customHeight="1" x14ac:dyDescent="0.3">
      <c r="C41" s="305">
        <v>841.85</v>
      </c>
      <c r="D41" s="36">
        <f t="shared" si="0"/>
        <v>1.4476336919178006E-2</v>
      </c>
      <c r="E41" s="3"/>
    </row>
    <row r="42" spans="1:7" ht="15.75" customHeight="1" x14ac:dyDescent="0.3">
      <c r="C42" s="305">
        <v>852.67</v>
      </c>
      <c r="D42" s="36">
        <f t="shared" si="0"/>
        <v>2.7515042110679389E-2</v>
      </c>
      <c r="E42" s="3"/>
    </row>
    <row r="43" spans="1:7" ht="16.5" customHeight="1" x14ac:dyDescent="0.3">
      <c r="C43" s="306">
        <v>818.58</v>
      </c>
      <c r="D43" s="37">
        <f t="shared" si="0"/>
        <v>-1.3565314634078814E-2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1" t="s">
        <v>41</v>
      </c>
      <c r="C45" s="32">
        <f>SUM(C24:C44)</f>
        <v>16596.740000000002</v>
      </c>
      <c r="D45" s="27"/>
      <c r="E45" s="4"/>
    </row>
    <row r="46" spans="1:7" ht="17.25" customHeight="1" x14ac:dyDescent="0.3">
      <c r="B46" s="31" t="s">
        <v>42</v>
      </c>
      <c r="C46" s="33">
        <f>AVERAGE(C24:C43)</f>
        <v>829.8370000000001</v>
      </c>
      <c r="E46" s="6"/>
    </row>
    <row r="47" spans="1:7" ht="17.25" customHeight="1" x14ac:dyDescent="0.3">
      <c r="A47" s="10"/>
      <c r="B47" s="28"/>
      <c r="D47" s="8"/>
      <c r="E47" s="6"/>
    </row>
    <row r="48" spans="1:7" ht="33.75" customHeight="1" x14ac:dyDescent="0.3">
      <c r="B48" s="40" t="s">
        <v>42</v>
      </c>
      <c r="C48" s="34" t="s">
        <v>43</v>
      </c>
      <c r="D48" s="29"/>
      <c r="G48" s="8"/>
    </row>
    <row r="49" spans="1:6" ht="17.25" customHeight="1" x14ac:dyDescent="0.3">
      <c r="B49" s="250">
        <f>C46</f>
        <v>829.8370000000001</v>
      </c>
      <c r="C49" s="41">
        <f>-IF(C46&lt;=80,10%,IF(C46&lt;250,7.5%,5%))</f>
        <v>-0.05</v>
      </c>
      <c r="D49" s="30">
        <f>IF(C46&lt;=80,C46*0.9,IF(C46&lt;250,C46*0.925,C46*0.95))</f>
        <v>788.3451500000001</v>
      </c>
    </row>
    <row r="50" spans="1:6" ht="17.25" customHeight="1" x14ac:dyDescent="0.3">
      <c r="B50" s="251"/>
      <c r="C50" s="42">
        <f>IF(C46&lt;=80, 10%, IF(C46&lt;250, 7.5%, 5%))</f>
        <v>0.05</v>
      </c>
      <c r="D50" s="30">
        <f>IF(C46&lt;=80, C46*1.1, IF(C46&lt;250, C46*1.075, C46*1.05))</f>
        <v>871.3288500000001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310" t="s">
        <v>124</v>
      </c>
      <c r="C54" s="24"/>
      <c r="D54" s="309">
        <v>42415</v>
      </c>
      <c r="E54" s="11"/>
      <c r="F54" s="2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1" zoomScale="80" zoomScaleNormal="80" zoomScalePageLayoutView="55" workbookViewId="0">
      <selection activeCell="H38" sqref="H38:H41"/>
    </sheetView>
  </sheetViews>
  <sheetFormatPr defaultColWidth="9.109375" defaultRowHeight="13.8" x14ac:dyDescent="0.3"/>
  <cols>
    <col min="1" max="1" width="55.44140625" style="45" customWidth="1"/>
    <col min="2" max="2" width="33.6640625" style="45" customWidth="1"/>
    <col min="3" max="3" width="42.33203125" style="45" customWidth="1"/>
    <col min="4" max="4" width="30.5546875" style="45" customWidth="1"/>
    <col min="5" max="5" width="39.88671875" style="45" customWidth="1"/>
    <col min="6" max="6" width="30.6640625" style="45" customWidth="1"/>
    <col min="7" max="7" width="39.88671875" style="45" customWidth="1"/>
    <col min="8" max="8" width="30" style="45" customWidth="1"/>
    <col min="9" max="9" width="30.33203125" style="45" hidden="1" customWidth="1"/>
    <col min="10" max="10" width="30.44140625" style="45" customWidth="1"/>
    <col min="11" max="11" width="21.33203125" style="297" customWidth="1"/>
    <col min="12" max="12" width="9.109375" style="297"/>
    <col min="13" max="16384" width="9.109375" style="298"/>
  </cols>
  <sheetData>
    <row r="1" spans="1:9" ht="18.75" customHeight="1" x14ac:dyDescent="0.3">
      <c r="A1" s="291" t="s">
        <v>44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3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3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3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3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3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3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3">
      <c r="A8" s="292" t="s">
        <v>45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3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3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3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3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3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3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4">
      <c r="A15" s="88"/>
    </row>
    <row r="16" spans="1:9" ht="19.5" customHeight="1" thickBot="1" x14ac:dyDescent="0.4">
      <c r="A16" s="293" t="s">
        <v>30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3">
      <c r="A17" s="296" t="s">
        <v>46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5">
      <c r="A18" s="89" t="s">
        <v>32</v>
      </c>
      <c r="B18" s="289" t="s">
        <v>123</v>
      </c>
      <c r="C18" s="289"/>
      <c r="D18" s="90"/>
      <c r="E18" s="91"/>
      <c r="F18" s="92"/>
      <c r="G18" s="92"/>
      <c r="H18" s="92"/>
    </row>
    <row r="19" spans="1:14" ht="26.25" customHeight="1" x14ac:dyDescent="0.5">
      <c r="A19" s="89" t="s">
        <v>33</v>
      </c>
      <c r="B19" s="93" t="s">
        <v>7</v>
      </c>
      <c r="C19" s="92">
        <v>29</v>
      </c>
      <c r="D19" s="92"/>
      <c r="E19" s="92"/>
      <c r="F19" s="92"/>
      <c r="G19" s="92"/>
      <c r="H19" s="92"/>
    </row>
    <row r="20" spans="1:14" ht="26.25" customHeight="1" x14ac:dyDescent="0.5">
      <c r="A20" s="89" t="s">
        <v>34</v>
      </c>
      <c r="B20" s="288" t="s">
        <v>9</v>
      </c>
      <c r="C20" s="288"/>
      <c r="D20" s="92"/>
      <c r="E20" s="92"/>
      <c r="F20" s="92"/>
      <c r="G20" s="92"/>
      <c r="H20" s="92"/>
    </row>
    <row r="21" spans="1:14" ht="26.25" customHeight="1" x14ac:dyDescent="0.5">
      <c r="A21" s="89" t="s">
        <v>35</v>
      </c>
      <c r="B21" s="288" t="s">
        <v>125</v>
      </c>
      <c r="C21" s="288"/>
      <c r="D21" s="288"/>
      <c r="E21" s="288"/>
      <c r="F21" s="288"/>
      <c r="G21" s="288"/>
      <c r="H21" s="288"/>
      <c r="I21" s="94"/>
    </row>
    <row r="22" spans="1:14" ht="26.25" customHeight="1" x14ac:dyDescent="0.5">
      <c r="A22" s="89" t="s">
        <v>36</v>
      </c>
      <c r="B22" s="95"/>
      <c r="C22" s="92"/>
      <c r="D22" s="92"/>
      <c r="E22" s="92"/>
      <c r="F22" s="92"/>
      <c r="G22" s="92"/>
      <c r="H22" s="92"/>
    </row>
    <row r="23" spans="1:14" ht="26.25" customHeight="1" x14ac:dyDescent="0.5">
      <c r="A23" s="89" t="s">
        <v>37</v>
      </c>
      <c r="B23" s="95"/>
      <c r="C23" s="92"/>
      <c r="D23" s="92"/>
      <c r="E23" s="92"/>
      <c r="F23" s="92"/>
      <c r="G23" s="92"/>
      <c r="H23" s="92"/>
    </row>
    <row r="24" spans="1:14" ht="18" x14ac:dyDescent="0.35">
      <c r="A24" s="89"/>
      <c r="B24" s="96"/>
    </row>
    <row r="25" spans="1:14" ht="18" x14ac:dyDescent="0.35">
      <c r="A25" s="97" t="s">
        <v>1</v>
      </c>
      <c r="B25" s="96"/>
    </row>
    <row r="26" spans="1:14" ht="26.25" customHeight="1" x14ac:dyDescent="0.45">
      <c r="A26" s="98" t="s">
        <v>4</v>
      </c>
      <c r="B26" s="289" t="s">
        <v>9</v>
      </c>
      <c r="C26" s="289"/>
    </row>
    <row r="27" spans="1:14" ht="26.25" customHeight="1" x14ac:dyDescent="0.5">
      <c r="A27" s="99" t="s">
        <v>47</v>
      </c>
      <c r="B27" s="290" t="s">
        <v>122</v>
      </c>
      <c r="C27" s="290"/>
    </row>
    <row r="28" spans="1:14" ht="27" customHeight="1" thickBot="1" x14ac:dyDescent="0.5">
      <c r="A28" s="99" t="s">
        <v>6</v>
      </c>
      <c r="B28" s="100">
        <v>98.57</v>
      </c>
    </row>
    <row r="29" spans="1:14" s="300" customFormat="1" ht="27" customHeight="1" thickBot="1" x14ac:dyDescent="0.55000000000000004">
      <c r="A29" s="99" t="s">
        <v>48</v>
      </c>
      <c r="B29" s="101">
        <v>0</v>
      </c>
      <c r="C29" s="268" t="s">
        <v>49</v>
      </c>
      <c r="D29" s="269"/>
      <c r="E29" s="269"/>
      <c r="F29" s="269"/>
      <c r="G29" s="270"/>
      <c r="H29" s="55"/>
      <c r="I29" s="102"/>
      <c r="J29" s="102"/>
      <c r="K29" s="299"/>
      <c r="L29" s="299"/>
    </row>
    <row r="30" spans="1:14" s="300" customFormat="1" ht="19.5" customHeight="1" thickBot="1" x14ac:dyDescent="0.4">
      <c r="A30" s="99" t="s">
        <v>50</v>
      </c>
      <c r="B30" s="103">
        <f>B28-B29</f>
        <v>98.57</v>
      </c>
      <c r="C30" s="104"/>
      <c r="D30" s="104"/>
      <c r="E30" s="104"/>
      <c r="F30" s="104"/>
      <c r="G30" s="105"/>
      <c r="H30" s="55"/>
      <c r="I30" s="102"/>
      <c r="J30" s="102"/>
      <c r="K30" s="299"/>
      <c r="L30" s="299"/>
    </row>
    <row r="31" spans="1:14" s="300" customFormat="1" ht="27" customHeight="1" thickBot="1" x14ac:dyDescent="0.5">
      <c r="A31" s="99" t="s">
        <v>51</v>
      </c>
      <c r="B31" s="106">
        <v>1</v>
      </c>
      <c r="C31" s="271" t="s">
        <v>52</v>
      </c>
      <c r="D31" s="272"/>
      <c r="E31" s="272"/>
      <c r="F31" s="272"/>
      <c r="G31" s="272"/>
      <c r="H31" s="273"/>
      <c r="I31" s="102"/>
      <c r="J31" s="102"/>
      <c r="K31" s="299"/>
      <c r="L31" s="299"/>
    </row>
    <row r="32" spans="1:14" s="300" customFormat="1" ht="27" customHeight="1" thickBot="1" x14ac:dyDescent="0.5">
      <c r="A32" s="99" t="s">
        <v>53</v>
      </c>
      <c r="B32" s="106">
        <v>1</v>
      </c>
      <c r="C32" s="271" t="s">
        <v>54</v>
      </c>
      <c r="D32" s="272"/>
      <c r="E32" s="272"/>
      <c r="F32" s="272"/>
      <c r="G32" s="272"/>
      <c r="H32" s="273"/>
      <c r="I32" s="102"/>
      <c r="J32" s="102"/>
      <c r="K32" s="299"/>
      <c r="L32" s="301"/>
      <c r="M32" s="301"/>
      <c r="N32" s="302"/>
    </row>
    <row r="33" spans="1:14" s="300" customFormat="1" ht="17.25" customHeight="1" x14ac:dyDescent="0.35">
      <c r="A33" s="99"/>
      <c r="B33" s="107"/>
      <c r="C33" s="108"/>
      <c r="D33" s="108"/>
      <c r="E33" s="108"/>
      <c r="F33" s="108"/>
      <c r="G33" s="108"/>
      <c r="H33" s="108"/>
      <c r="I33" s="102"/>
      <c r="J33" s="102"/>
      <c r="K33" s="299"/>
      <c r="L33" s="301"/>
      <c r="M33" s="301"/>
      <c r="N33" s="302"/>
    </row>
    <row r="34" spans="1:14" s="300" customFormat="1" ht="18" x14ac:dyDescent="0.35">
      <c r="A34" s="99" t="s">
        <v>55</v>
      </c>
      <c r="B34" s="109">
        <f>B31/B32</f>
        <v>1</v>
      </c>
      <c r="C34" s="88" t="s">
        <v>56</v>
      </c>
      <c r="D34" s="88"/>
      <c r="E34" s="88"/>
      <c r="F34" s="88"/>
      <c r="G34" s="88"/>
      <c r="H34" s="102"/>
      <c r="I34" s="102"/>
      <c r="J34" s="102"/>
      <c r="K34" s="299"/>
      <c r="L34" s="301"/>
      <c r="M34" s="301"/>
      <c r="N34" s="302"/>
    </row>
    <row r="35" spans="1:14" s="300" customFormat="1" ht="19.5" customHeight="1" thickBot="1" x14ac:dyDescent="0.4">
      <c r="A35" s="99"/>
      <c r="B35" s="103"/>
      <c r="C35" s="55"/>
      <c r="D35" s="55"/>
      <c r="E35" s="55"/>
      <c r="F35" s="55"/>
      <c r="G35" s="88"/>
      <c r="H35" s="102"/>
      <c r="I35" s="102"/>
      <c r="J35" s="102"/>
      <c r="K35" s="299"/>
      <c r="L35" s="301"/>
      <c r="M35" s="301"/>
      <c r="N35" s="302"/>
    </row>
    <row r="36" spans="1:14" s="300" customFormat="1" ht="27" customHeight="1" thickBot="1" x14ac:dyDescent="0.5">
      <c r="A36" s="110" t="s">
        <v>57</v>
      </c>
      <c r="B36" s="111">
        <v>50</v>
      </c>
      <c r="C36" s="88"/>
      <c r="D36" s="274" t="s">
        <v>58</v>
      </c>
      <c r="E36" s="287"/>
      <c r="F36" s="274" t="s">
        <v>59</v>
      </c>
      <c r="G36" s="275"/>
      <c r="H36" s="102"/>
      <c r="I36" s="55"/>
      <c r="J36" s="102"/>
      <c r="K36" s="299"/>
      <c r="L36" s="301"/>
      <c r="M36" s="301"/>
      <c r="N36" s="302"/>
    </row>
    <row r="37" spans="1:14" s="300" customFormat="1" ht="27" customHeight="1" thickBot="1" x14ac:dyDescent="0.5">
      <c r="A37" s="112" t="s">
        <v>60</v>
      </c>
      <c r="B37" s="113">
        <v>5</v>
      </c>
      <c r="C37" s="114" t="s">
        <v>61</v>
      </c>
      <c r="D37" s="115" t="s">
        <v>62</v>
      </c>
      <c r="E37" s="116" t="s">
        <v>63</v>
      </c>
      <c r="F37" s="115" t="s">
        <v>62</v>
      </c>
      <c r="G37" s="117" t="s">
        <v>63</v>
      </c>
      <c r="H37" s="102"/>
      <c r="I37" s="118" t="s">
        <v>64</v>
      </c>
      <c r="J37" s="102"/>
      <c r="K37" s="299"/>
      <c r="L37" s="301"/>
      <c r="M37" s="301"/>
      <c r="N37" s="302"/>
    </row>
    <row r="38" spans="1:14" s="300" customFormat="1" ht="26.25" customHeight="1" x14ac:dyDescent="0.45">
      <c r="A38" s="112" t="s">
        <v>65</v>
      </c>
      <c r="B38" s="113">
        <v>50</v>
      </c>
      <c r="C38" s="119">
        <v>1</v>
      </c>
      <c r="D38" s="120">
        <v>23234276</v>
      </c>
      <c r="E38" s="121">
        <f>IF(ISBLANK(D38),"-",$D$48/$D$45*D38)</f>
        <v>24340506.248858891</v>
      </c>
      <c r="F38" s="120">
        <v>23955990</v>
      </c>
      <c r="G38" s="122">
        <f>IF(ISBLANK(F38),"-",$D$48/$F$45*F38)</f>
        <v>24148977.032938264</v>
      </c>
      <c r="H38" s="102"/>
      <c r="I38" s="102"/>
      <c r="J38" s="102"/>
      <c r="K38" s="299"/>
      <c r="L38" s="301"/>
      <c r="M38" s="301"/>
      <c r="N38" s="302"/>
    </row>
    <row r="39" spans="1:14" s="300" customFormat="1" ht="26.25" customHeight="1" x14ac:dyDescent="0.45">
      <c r="A39" s="112" t="s">
        <v>66</v>
      </c>
      <c r="B39" s="113">
        <v>1</v>
      </c>
      <c r="C39" s="124">
        <v>2</v>
      </c>
      <c r="D39" s="125">
        <v>23215712</v>
      </c>
      <c r="E39" s="126">
        <f>IF(ISBLANK(D39),"-",$D$48/$D$45*D39)</f>
        <v>24321058.379770834</v>
      </c>
      <c r="F39" s="125">
        <v>23965216</v>
      </c>
      <c r="G39" s="127">
        <f>IF(ISBLANK(F39),"-",$D$48/$F$45*F39)</f>
        <v>24158277.356661305</v>
      </c>
      <c r="H39" s="102"/>
      <c r="I39" s="258">
        <f>ABS((F43/D43*D42)-F42)/D42</f>
        <v>6.9508908107405436E-3</v>
      </c>
      <c r="J39" s="102"/>
      <c r="K39" s="299"/>
      <c r="L39" s="301"/>
      <c r="M39" s="301"/>
      <c r="N39" s="302"/>
    </row>
    <row r="40" spans="1:14" ht="26.25" customHeight="1" x14ac:dyDescent="0.45">
      <c r="A40" s="112" t="s">
        <v>67</v>
      </c>
      <c r="B40" s="113">
        <v>1</v>
      </c>
      <c r="C40" s="124">
        <v>3</v>
      </c>
      <c r="D40" s="125">
        <v>23232831</v>
      </c>
      <c r="E40" s="126">
        <f>IF(ISBLANK(D40),"-",$D$48/$D$45*D40)</f>
        <v>24338992.449525114</v>
      </c>
      <c r="F40" s="125">
        <v>24011608</v>
      </c>
      <c r="G40" s="127">
        <f>IF(ISBLANK(F40),"-",$D$48/$F$45*F40)</f>
        <v>24205043.085922007</v>
      </c>
      <c r="H40" s="102"/>
      <c r="I40" s="258"/>
      <c r="L40" s="301"/>
      <c r="M40" s="301"/>
      <c r="N40" s="303"/>
    </row>
    <row r="41" spans="1:14" ht="27" customHeight="1" thickBot="1" x14ac:dyDescent="0.5">
      <c r="A41" s="112" t="s">
        <v>68</v>
      </c>
      <c r="B41" s="113">
        <v>1</v>
      </c>
      <c r="C41" s="128">
        <v>4</v>
      </c>
      <c r="D41" s="129"/>
      <c r="E41" s="130" t="str">
        <f>IF(ISBLANK(D41),"-",$D$48/$D$45*D41)</f>
        <v>-</v>
      </c>
      <c r="F41" s="129"/>
      <c r="G41" s="131" t="str">
        <f>IF(ISBLANK(F41),"-",$D$48/$F$45*F41)</f>
        <v>-</v>
      </c>
      <c r="I41" s="132"/>
      <c r="L41" s="301"/>
      <c r="M41" s="301"/>
      <c r="N41" s="303"/>
    </row>
    <row r="42" spans="1:14" ht="27" customHeight="1" thickBot="1" x14ac:dyDescent="0.5">
      <c r="A42" s="112" t="s">
        <v>69</v>
      </c>
      <c r="B42" s="113">
        <v>1</v>
      </c>
      <c r="C42" s="133" t="s">
        <v>70</v>
      </c>
      <c r="D42" s="134">
        <f>AVERAGE(D38:D41)</f>
        <v>23227606.333333332</v>
      </c>
      <c r="E42" s="135">
        <f>AVERAGE(E38:E41)</f>
        <v>24333519.026051614</v>
      </c>
      <c r="F42" s="134">
        <f>AVERAGE(F38:F41)</f>
        <v>23977604.666666668</v>
      </c>
      <c r="G42" s="136">
        <f>AVERAGE(G38:G41)</f>
        <v>24170765.825173859</v>
      </c>
      <c r="H42" s="79"/>
    </row>
    <row r="43" spans="1:14" ht="26.25" customHeight="1" x14ac:dyDescent="0.45">
      <c r="A43" s="112" t="s">
        <v>71</v>
      </c>
      <c r="B43" s="113">
        <v>1</v>
      </c>
      <c r="C43" s="137" t="s">
        <v>72</v>
      </c>
      <c r="D43" s="138">
        <v>24.21</v>
      </c>
      <c r="E43" s="88"/>
      <c r="F43" s="138">
        <v>25.16</v>
      </c>
      <c r="H43" s="79"/>
    </row>
    <row r="44" spans="1:14" ht="26.25" customHeight="1" x14ac:dyDescent="0.45">
      <c r="A44" s="112" t="s">
        <v>73</v>
      </c>
      <c r="B44" s="113">
        <v>1</v>
      </c>
      <c r="C44" s="139" t="s">
        <v>74</v>
      </c>
      <c r="D44" s="140">
        <f>D43*$B$34</f>
        <v>24.21</v>
      </c>
      <c r="E44" s="141"/>
      <c r="F44" s="140">
        <f>F43*$B$34</f>
        <v>25.16</v>
      </c>
      <c r="H44" s="79"/>
    </row>
    <row r="45" spans="1:14" ht="19.5" customHeight="1" thickBot="1" x14ac:dyDescent="0.4">
      <c r="A45" s="112" t="s">
        <v>75</v>
      </c>
      <c r="B45" s="124">
        <f>(B44/B43)*(B42/B41)*(B40/B39)*(B38/B37)*B36</f>
        <v>500</v>
      </c>
      <c r="C45" s="139" t="s">
        <v>76</v>
      </c>
      <c r="D45" s="142">
        <f>D44*$B$30/100</f>
        <v>23.863796999999998</v>
      </c>
      <c r="E45" s="143"/>
      <c r="F45" s="142">
        <f>F44*$B$30/100</f>
        <v>24.800211999999998</v>
      </c>
      <c r="H45" s="79"/>
    </row>
    <row r="46" spans="1:14" ht="19.5" customHeight="1" thickBot="1" x14ac:dyDescent="0.4">
      <c r="A46" s="259" t="s">
        <v>77</v>
      </c>
      <c r="B46" s="263"/>
      <c r="C46" s="139" t="s">
        <v>78</v>
      </c>
      <c r="D46" s="144">
        <f>D45/$B$45</f>
        <v>4.7727593999999998E-2</v>
      </c>
      <c r="E46" s="145"/>
      <c r="F46" s="146">
        <f>F45/$B$45</f>
        <v>4.9600423999999997E-2</v>
      </c>
      <c r="H46" s="79"/>
    </row>
    <row r="47" spans="1:14" ht="27" customHeight="1" thickBot="1" x14ac:dyDescent="0.5">
      <c r="A47" s="261"/>
      <c r="B47" s="264"/>
      <c r="C47" s="147" t="s">
        <v>79</v>
      </c>
      <c r="D47" s="148">
        <v>0.05</v>
      </c>
      <c r="E47" s="149"/>
      <c r="F47" s="145"/>
      <c r="H47" s="79"/>
    </row>
    <row r="48" spans="1:14" ht="18" x14ac:dyDescent="0.35">
      <c r="C48" s="150" t="s">
        <v>80</v>
      </c>
      <c r="D48" s="142">
        <f>D47*$B$45</f>
        <v>25</v>
      </c>
      <c r="F48" s="151"/>
      <c r="H48" s="79"/>
    </row>
    <row r="49" spans="1:12" ht="19.5" customHeight="1" thickBot="1" x14ac:dyDescent="0.4">
      <c r="C49" s="152" t="s">
        <v>81</v>
      </c>
      <c r="D49" s="153">
        <f>D48/B34</f>
        <v>25</v>
      </c>
      <c r="F49" s="151"/>
      <c r="H49" s="79"/>
    </row>
    <row r="50" spans="1:12" ht="18" x14ac:dyDescent="0.35">
      <c r="C50" s="110" t="s">
        <v>82</v>
      </c>
      <c r="D50" s="154">
        <f>AVERAGE(E38:E41,G38:G41)</f>
        <v>24252142.425612736</v>
      </c>
      <c r="E50" s="155"/>
      <c r="F50" s="155"/>
      <c r="H50" s="79"/>
    </row>
    <row r="51" spans="1:12" ht="18" x14ac:dyDescent="0.35">
      <c r="C51" s="112" t="s">
        <v>83</v>
      </c>
      <c r="D51" s="156">
        <f>STDEV(E38:E41,G38:G41)/D50</f>
        <v>3.7688654249605135E-3</v>
      </c>
      <c r="F51" s="155"/>
      <c r="H51" s="79"/>
    </row>
    <row r="52" spans="1:12" ht="19.5" customHeight="1" thickBot="1" x14ac:dyDescent="0.4">
      <c r="C52" s="157" t="s">
        <v>20</v>
      </c>
      <c r="D52" s="158">
        <f>COUNT(E38:E41,G38:G41)</f>
        <v>6</v>
      </c>
      <c r="F52" s="155"/>
    </row>
    <row r="54" spans="1:12" ht="18" x14ac:dyDescent="0.35">
      <c r="A54" s="159" t="s">
        <v>1</v>
      </c>
      <c r="B54" s="160" t="s">
        <v>84</v>
      </c>
    </row>
    <row r="55" spans="1:12" ht="18" x14ac:dyDescent="0.35">
      <c r="A55" s="88" t="s">
        <v>85</v>
      </c>
      <c r="B55" s="161" t="str">
        <f>B21</f>
        <v>Each tablet contains Ornidazole 500 mg</v>
      </c>
    </row>
    <row r="56" spans="1:12" ht="26.25" customHeight="1" x14ac:dyDescent="0.45">
      <c r="A56" s="161" t="s">
        <v>86</v>
      </c>
      <c r="B56" s="162">
        <v>500</v>
      </c>
      <c r="C56" s="88" t="str">
        <f>B20</f>
        <v>Ornidazole</v>
      </c>
      <c r="H56" s="141"/>
    </row>
    <row r="57" spans="1:12" ht="18" x14ac:dyDescent="0.35">
      <c r="A57" s="161" t="s">
        <v>126</v>
      </c>
      <c r="B57" s="163">
        <f>Uniformity!C46</f>
        <v>829.8370000000001</v>
      </c>
      <c r="H57" s="141"/>
    </row>
    <row r="58" spans="1:12" ht="19.5" customHeight="1" thickBot="1" x14ac:dyDescent="0.4">
      <c r="H58" s="141"/>
    </row>
    <row r="59" spans="1:12" s="300" customFormat="1" ht="27" customHeight="1" thickBot="1" x14ac:dyDescent="0.5">
      <c r="A59" s="110" t="s">
        <v>87</v>
      </c>
      <c r="B59" s="111">
        <v>200</v>
      </c>
      <c r="C59" s="88"/>
      <c r="D59" s="164" t="s">
        <v>88</v>
      </c>
      <c r="E59" s="165" t="s">
        <v>61</v>
      </c>
      <c r="F59" s="165" t="s">
        <v>62</v>
      </c>
      <c r="G59" s="165" t="s">
        <v>89</v>
      </c>
      <c r="H59" s="114" t="s">
        <v>90</v>
      </c>
      <c r="I59" s="55"/>
      <c r="J59" s="45"/>
      <c r="L59" s="299"/>
    </row>
    <row r="60" spans="1:12" s="300" customFormat="1" ht="26.25" customHeight="1" x14ac:dyDescent="0.45">
      <c r="A60" s="112" t="s">
        <v>91</v>
      </c>
      <c r="B60" s="113">
        <v>4</v>
      </c>
      <c r="C60" s="276" t="s">
        <v>92</v>
      </c>
      <c r="D60" s="279">
        <v>396.04</v>
      </c>
      <c r="E60" s="166">
        <v>1</v>
      </c>
      <c r="F60" s="167">
        <v>23754187</v>
      </c>
      <c r="G60" s="168">
        <f>IF(ISBLANK(F60),"-",(F60/$D$50*$D$47*$B$68)*($B$57/$D$60))</f>
        <v>513.07849559467275</v>
      </c>
      <c r="H60" s="169">
        <f t="shared" ref="H60:H71" si="0">IF(ISBLANK(F60),"-",G60/$B$56)</f>
        <v>1.0261569911893456</v>
      </c>
      <c r="I60" s="55"/>
      <c r="J60" s="45"/>
      <c r="K60" s="311"/>
      <c r="L60" s="299"/>
    </row>
    <row r="61" spans="1:12" s="300" customFormat="1" ht="26.25" customHeight="1" x14ac:dyDescent="0.45">
      <c r="A61" s="112" t="s">
        <v>93</v>
      </c>
      <c r="B61" s="113">
        <v>100</v>
      </c>
      <c r="C61" s="277"/>
      <c r="D61" s="280"/>
      <c r="E61" s="170">
        <v>2</v>
      </c>
      <c r="F61" s="125">
        <v>23711170</v>
      </c>
      <c r="G61" s="171">
        <f>IF(ISBLANK(F61),"-",(F61/$D$50*$D$47*$B$68)*($B$57/$D$60))</f>
        <v>512.14935002362051</v>
      </c>
      <c r="H61" s="172">
        <f t="shared" si="0"/>
        <v>1.024298700047241</v>
      </c>
      <c r="I61" s="55"/>
      <c r="J61" s="45"/>
      <c r="K61" s="311"/>
      <c r="L61" s="299"/>
    </row>
    <row r="62" spans="1:12" s="300" customFormat="1" ht="26.25" customHeight="1" x14ac:dyDescent="0.45">
      <c r="A62" s="112" t="s">
        <v>94</v>
      </c>
      <c r="B62" s="113">
        <v>1</v>
      </c>
      <c r="C62" s="277"/>
      <c r="D62" s="280"/>
      <c r="E62" s="170">
        <v>3</v>
      </c>
      <c r="F62" s="173">
        <v>23807008</v>
      </c>
      <c r="G62" s="171">
        <f>IF(ISBLANK(F62),"-",(F62/$D$50*$D$47*$B$68)*($B$57/$D$60))</f>
        <v>514.21940263627368</v>
      </c>
      <c r="H62" s="172">
        <f t="shared" si="0"/>
        <v>1.0284388052725473</v>
      </c>
      <c r="I62" s="55"/>
      <c r="J62" s="45"/>
      <c r="K62" s="311"/>
      <c r="L62" s="299"/>
    </row>
    <row r="63" spans="1:12" ht="27" customHeight="1" thickBot="1" x14ac:dyDescent="0.5">
      <c r="A63" s="112" t="s">
        <v>95</v>
      </c>
      <c r="B63" s="113">
        <v>1</v>
      </c>
      <c r="C63" s="278"/>
      <c r="D63" s="281"/>
      <c r="E63" s="174">
        <v>4</v>
      </c>
      <c r="F63" s="175"/>
      <c r="G63" s="171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5">
      <c r="A64" s="112" t="s">
        <v>96</v>
      </c>
      <c r="B64" s="113">
        <v>1</v>
      </c>
      <c r="C64" s="276" t="s">
        <v>97</v>
      </c>
      <c r="D64" s="279">
        <v>405.98</v>
      </c>
      <c r="E64" s="166">
        <v>1</v>
      </c>
      <c r="F64" s="167">
        <v>23399352</v>
      </c>
      <c r="G64" s="176">
        <f>IF(ISBLANK(F64),"-",(F64/$D$50*$D$47*$B$68)*($B$57/$D$64))</f>
        <v>493.03969362969178</v>
      </c>
      <c r="H64" s="177">
        <f t="shared" si="0"/>
        <v>0.9860793872593836</v>
      </c>
      <c r="K64" s="311"/>
    </row>
    <row r="65" spans="1:11" ht="26.25" customHeight="1" x14ac:dyDescent="0.45">
      <c r="A65" s="112" t="s">
        <v>98</v>
      </c>
      <c r="B65" s="113">
        <v>1</v>
      </c>
      <c r="C65" s="277"/>
      <c r="D65" s="280"/>
      <c r="E65" s="170">
        <v>2</v>
      </c>
      <c r="F65" s="125">
        <v>23421479</v>
      </c>
      <c r="G65" s="178">
        <f>IF(ISBLANK(F65),"-",(F65/$D$50*$D$47*$B$68)*($B$57/$D$64))</f>
        <v>493.50592403218093</v>
      </c>
      <c r="H65" s="179">
        <f t="shared" si="0"/>
        <v>0.98701184806436182</v>
      </c>
      <c r="K65" s="311"/>
    </row>
    <row r="66" spans="1:11" ht="26.25" customHeight="1" x14ac:dyDescent="0.45">
      <c r="A66" s="112" t="s">
        <v>99</v>
      </c>
      <c r="B66" s="113">
        <v>1</v>
      </c>
      <c r="C66" s="277"/>
      <c r="D66" s="280"/>
      <c r="E66" s="170">
        <v>3</v>
      </c>
      <c r="F66" s="125">
        <v>23459264</v>
      </c>
      <c r="G66" s="178">
        <f>IF(ISBLANK(F66),"-",(F66/$D$50*$D$47*$B$68)*($B$57/$D$64))</f>
        <v>494.30207876432041</v>
      </c>
      <c r="H66" s="179">
        <f t="shared" si="0"/>
        <v>0.98860415752864084</v>
      </c>
      <c r="K66" s="311"/>
    </row>
    <row r="67" spans="1:11" ht="27" customHeight="1" thickBot="1" x14ac:dyDescent="0.5">
      <c r="A67" s="112" t="s">
        <v>100</v>
      </c>
      <c r="B67" s="113">
        <v>1</v>
      </c>
      <c r="C67" s="278"/>
      <c r="D67" s="281"/>
      <c r="E67" s="174">
        <v>4</v>
      </c>
      <c r="F67" s="175"/>
      <c r="G67" s="180" t="str">
        <f>IF(ISBLANK(F67),"-",(F67/$D$50*$D$47*$B$68)*($B$57/$D$64))</f>
        <v>-</v>
      </c>
      <c r="H67" s="181" t="str">
        <f t="shared" si="0"/>
        <v>-</v>
      </c>
    </row>
    <row r="68" spans="1:11" ht="26.25" customHeight="1" x14ac:dyDescent="0.5">
      <c r="A68" s="112" t="s">
        <v>101</v>
      </c>
      <c r="B68" s="182">
        <f>(B67/B66)*(B65/B64)*(B63/B62)*(B61/B60)*B59</f>
        <v>5000</v>
      </c>
      <c r="C68" s="276" t="s">
        <v>102</v>
      </c>
      <c r="D68" s="279">
        <v>426.27</v>
      </c>
      <c r="E68" s="166">
        <v>1</v>
      </c>
      <c r="F68" s="167">
        <v>24598973</v>
      </c>
      <c r="G68" s="176">
        <f>IF(ISBLANK(F68),"-",(F68/$D$50*$D$47*$B$68)*($B$57/$D$68))</f>
        <v>493.64517934337329</v>
      </c>
      <c r="H68" s="172">
        <f t="shared" si="0"/>
        <v>0.98729035868674653</v>
      </c>
      <c r="K68" s="311"/>
    </row>
    <row r="69" spans="1:11" ht="27" customHeight="1" thickBot="1" x14ac:dyDescent="0.55000000000000004">
      <c r="A69" s="157" t="s">
        <v>103</v>
      </c>
      <c r="B69" s="183">
        <f>(D47*B68)/B56*B57</f>
        <v>414.91850000000005</v>
      </c>
      <c r="C69" s="277"/>
      <c r="D69" s="280"/>
      <c r="E69" s="170">
        <v>2</v>
      </c>
      <c r="F69" s="125">
        <v>24632314</v>
      </c>
      <c r="G69" s="178">
        <f>IF(ISBLANK(F69),"-",(F69/$D$50*$D$47*$B$68)*($B$57/$D$68))</f>
        <v>494.31425702903465</v>
      </c>
      <c r="H69" s="172">
        <f t="shared" si="0"/>
        <v>0.98862851405806929</v>
      </c>
      <c r="K69" s="311"/>
    </row>
    <row r="70" spans="1:11" ht="26.25" customHeight="1" x14ac:dyDescent="0.45">
      <c r="A70" s="283" t="s">
        <v>77</v>
      </c>
      <c r="B70" s="284"/>
      <c r="C70" s="277"/>
      <c r="D70" s="280"/>
      <c r="E70" s="170">
        <v>3</v>
      </c>
      <c r="F70" s="125">
        <v>24608695</v>
      </c>
      <c r="G70" s="178">
        <f>IF(ISBLANK(F70),"-",(F70/$D$50*$D$47*$B$68)*($B$57/$D$68))</f>
        <v>493.84027766855843</v>
      </c>
      <c r="H70" s="172">
        <f t="shared" si="0"/>
        <v>0.98768055533711685</v>
      </c>
      <c r="K70" s="311"/>
    </row>
    <row r="71" spans="1:11" ht="27" customHeight="1" thickBot="1" x14ac:dyDescent="0.5">
      <c r="A71" s="285"/>
      <c r="B71" s="286"/>
      <c r="C71" s="282"/>
      <c r="D71" s="281"/>
      <c r="E71" s="174">
        <v>4</v>
      </c>
      <c r="F71" s="175"/>
      <c r="G71" s="180" t="str">
        <f>IF(ISBLANK(F71),"-",(F71/$D$50*$D$47*$B$68)*($B$57/$D$68))</f>
        <v>-</v>
      </c>
      <c r="H71" s="184" t="str">
        <f t="shared" si="0"/>
        <v>-</v>
      </c>
    </row>
    <row r="72" spans="1:11" ht="26.25" customHeight="1" x14ac:dyDescent="0.45">
      <c r="A72" s="141"/>
      <c r="B72" s="141"/>
      <c r="C72" s="141"/>
      <c r="D72" s="141"/>
      <c r="E72" s="141"/>
      <c r="F72" s="185" t="s">
        <v>70</v>
      </c>
      <c r="G72" s="186">
        <f>AVERAGE(G60:G71)</f>
        <v>500.23273985796965</v>
      </c>
      <c r="H72" s="187">
        <f>AVERAGE(H60:H71)</f>
        <v>1.0004654797159394</v>
      </c>
    </row>
    <row r="73" spans="1:11" ht="26.25" customHeight="1" x14ac:dyDescent="0.45">
      <c r="C73" s="141"/>
      <c r="D73" s="141"/>
      <c r="E73" s="141"/>
      <c r="F73" s="188" t="s">
        <v>83</v>
      </c>
      <c r="G73" s="189">
        <f>STDEV(G60:G71)/G72</f>
        <v>1.9408695244770513E-2</v>
      </c>
      <c r="H73" s="189">
        <f>STDEV(H60:H71)/H72</f>
        <v>1.9408695244770506E-2</v>
      </c>
    </row>
    <row r="74" spans="1:11" ht="27" customHeight="1" thickBot="1" x14ac:dyDescent="0.5">
      <c r="A74" s="141"/>
      <c r="B74" s="141"/>
      <c r="C74" s="141"/>
      <c r="D74" s="141"/>
      <c r="E74" s="143"/>
      <c r="F74" s="190" t="s">
        <v>20</v>
      </c>
      <c r="G74" s="191">
        <f>COUNT(G60:G71)</f>
        <v>9</v>
      </c>
      <c r="H74" s="191">
        <f>COUNT(H60:H71)</f>
        <v>9</v>
      </c>
    </row>
    <row r="76" spans="1:11" ht="26.25" customHeight="1" x14ac:dyDescent="0.45">
      <c r="A76" s="98" t="s">
        <v>104</v>
      </c>
      <c r="B76" s="99" t="s">
        <v>105</v>
      </c>
      <c r="C76" s="265" t="str">
        <f>B20</f>
        <v>Ornidazole</v>
      </c>
      <c r="D76" s="265"/>
      <c r="E76" s="88" t="s">
        <v>106</v>
      </c>
      <c r="F76" s="88"/>
      <c r="G76" s="192">
        <f>H72</f>
        <v>1.0004654797159394</v>
      </c>
      <c r="H76" s="103"/>
    </row>
    <row r="77" spans="1:11" ht="18" x14ac:dyDescent="0.35">
      <c r="A77" s="97" t="s">
        <v>107</v>
      </c>
      <c r="B77" s="97" t="s">
        <v>108</v>
      </c>
    </row>
    <row r="78" spans="1:11" ht="18" x14ac:dyDescent="0.35">
      <c r="A78" s="97"/>
      <c r="B78" s="97"/>
    </row>
    <row r="79" spans="1:11" ht="26.25" customHeight="1" x14ac:dyDescent="0.45">
      <c r="A79" s="98" t="s">
        <v>4</v>
      </c>
      <c r="B79" s="267" t="str">
        <f>B26</f>
        <v>Ornidazole</v>
      </c>
      <c r="C79" s="267"/>
    </row>
    <row r="80" spans="1:11" ht="26.25" customHeight="1" x14ac:dyDescent="0.45">
      <c r="A80" s="99" t="s">
        <v>47</v>
      </c>
      <c r="B80" s="267" t="str">
        <f>B27</f>
        <v>O17 3</v>
      </c>
      <c r="C80" s="267"/>
    </row>
    <row r="81" spans="1:12" ht="27" customHeight="1" thickBot="1" x14ac:dyDescent="0.5">
      <c r="A81" s="99" t="s">
        <v>6</v>
      </c>
      <c r="B81" s="100">
        <f>B28</f>
        <v>98.57</v>
      </c>
    </row>
    <row r="82" spans="1:12" s="300" customFormat="1" ht="27" customHeight="1" thickBot="1" x14ac:dyDescent="0.55000000000000004">
      <c r="A82" s="99" t="s">
        <v>48</v>
      </c>
      <c r="B82" s="101">
        <v>0</v>
      </c>
      <c r="C82" s="268" t="s">
        <v>49</v>
      </c>
      <c r="D82" s="269"/>
      <c r="E82" s="269"/>
      <c r="F82" s="269"/>
      <c r="G82" s="270"/>
      <c r="H82" s="55"/>
      <c r="I82" s="102"/>
      <c r="J82" s="102"/>
      <c r="K82" s="299"/>
      <c r="L82" s="299"/>
    </row>
    <row r="83" spans="1:12" s="300" customFormat="1" ht="19.5" customHeight="1" thickBot="1" x14ac:dyDescent="0.4">
      <c r="A83" s="99" t="s">
        <v>50</v>
      </c>
      <c r="B83" s="103">
        <f>B81-B82</f>
        <v>98.57</v>
      </c>
      <c r="C83" s="104"/>
      <c r="D83" s="104"/>
      <c r="E83" s="104"/>
      <c r="F83" s="104"/>
      <c r="G83" s="105"/>
      <c r="H83" s="55"/>
      <c r="I83" s="102"/>
      <c r="J83" s="102"/>
      <c r="K83" s="299"/>
      <c r="L83" s="299"/>
    </row>
    <row r="84" spans="1:12" s="300" customFormat="1" ht="27" customHeight="1" thickBot="1" x14ac:dyDescent="0.5">
      <c r="A84" s="99" t="s">
        <v>51</v>
      </c>
      <c r="B84" s="106">
        <v>1</v>
      </c>
      <c r="C84" s="271" t="s">
        <v>109</v>
      </c>
      <c r="D84" s="272"/>
      <c r="E84" s="272"/>
      <c r="F84" s="272"/>
      <c r="G84" s="272"/>
      <c r="H84" s="273"/>
      <c r="I84" s="102"/>
      <c r="J84" s="102"/>
      <c r="K84" s="299"/>
      <c r="L84" s="299"/>
    </row>
    <row r="85" spans="1:12" s="300" customFormat="1" ht="27" customHeight="1" thickBot="1" x14ac:dyDescent="0.5">
      <c r="A85" s="99" t="s">
        <v>53</v>
      </c>
      <c r="B85" s="106">
        <v>1</v>
      </c>
      <c r="C85" s="271" t="s">
        <v>110</v>
      </c>
      <c r="D85" s="272"/>
      <c r="E85" s="272"/>
      <c r="F85" s="272"/>
      <c r="G85" s="272"/>
      <c r="H85" s="273"/>
      <c r="I85" s="102"/>
      <c r="J85" s="102"/>
      <c r="K85" s="299"/>
      <c r="L85" s="299"/>
    </row>
    <row r="86" spans="1:12" s="300" customFormat="1" ht="18" x14ac:dyDescent="0.35">
      <c r="A86" s="99"/>
      <c r="B86" s="107"/>
      <c r="C86" s="108"/>
      <c r="D86" s="108"/>
      <c r="E86" s="108"/>
      <c r="F86" s="108"/>
      <c r="G86" s="108"/>
      <c r="H86" s="108"/>
      <c r="I86" s="102"/>
      <c r="J86" s="102"/>
      <c r="K86" s="299"/>
      <c r="L86" s="299"/>
    </row>
    <row r="87" spans="1:12" s="300" customFormat="1" ht="18" x14ac:dyDescent="0.35">
      <c r="A87" s="99" t="s">
        <v>55</v>
      </c>
      <c r="B87" s="109">
        <f>B84/B85</f>
        <v>1</v>
      </c>
      <c r="C87" s="88" t="s">
        <v>56</v>
      </c>
      <c r="D87" s="88"/>
      <c r="E87" s="88"/>
      <c r="F87" s="88"/>
      <c r="G87" s="88"/>
      <c r="H87" s="45"/>
      <c r="I87" s="102"/>
      <c r="J87" s="102"/>
      <c r="K87" s="299"/>
      <c r="L87" s="299"/>
    </row>
    <row r="88" spans="1:12" ht="19.5" customHeight="1" thickBot="1" x14ac:dyDescent="0.4">
      <c r="A88" s="97"/>
      <c r="B88" s="97"/>
    </row>
    <row r="89" spans="1:12" ht="27" customHeight="1" thickBot="1" x14ac:dyDescent="0.5">
      <c r="A89" s="110" t="s">
        <v>57</v>
      </c>
      <c r="B89" s="111">
        <v>50</v>
      </c>
      <c r="D89" s="193" t="s">
        <v>58</v>
      </c>
      <c r="E89" s="194"/>
      <c r="F89" s="274" t="s">
        <v>59</v>
      </c>
      <c r="G89" s="275"/>
    </row>
    <row r="90" spans="1:12" ht="27" customHeight="1" thickBot="1" x14ac:dyDescent="0.5">
      <c r="A90" s="112" t="s">
        <v>60</v>
      </c>
      <c r="B90" s="113">
        <v>5</v>
      </c>
      <c r="C90" s="195" t="s">
        <v>61</v>
      </c>
      <c r="D90" s="115" t="s">
        <v>62</v>
      </c>
      <c r="E90" s="116" t="s">
        <v>63</v>
      </c>
      <c r="F90" s="115" t="s">
        <v>62</v>
      </c>
      <c r="G90" s="196" t="s">
        <v>63</v>
      </c>
      <c r="I90" s="118" t="s">
        <v>64</v>
      </c>
    </row>
    <row r="91" spans="1:12" ht="26.25" customHeight="1" x14ac:dyDescent="0.45">
      <c r="A91" s="112" t="s">
        <v>65</v>
      </c>
      <c r="B91" s="113">
        <v>50</v>
      </c>
      <c r="C91" s="197">
        <v>1</v>
      </c>
      <c r="D91" s="120">
        <v>23234276</v>
      </c>
      <c r="E91" s="121">
        <f>IF(ISBLANK(D91),"-",$D$101/$D$98*D91)</f>
        <v>27045006.943176545</v>
      </c>
      <c r="F91" s="120">
        <v>23955990</v>
      </c>
      <c r="G91" s="122">
        <f>IF(ISBLANK(F91),"-",$D$101/$F$98*F91)</f>
        <v>26832196.703264743</v>
      </c>
      <c r="I91" s="123"/>
    </row>
    <row r="92" spans="1:12" ht="26.25" customHeight="1" x14ac:dyDescent="0.45">
      <c r="A92" s="112" t="s">
        <v>66</v>
      </c>
      <c r="B92" s="113">
        <v>1</v>
      </c>
      <c r="C92" s="141">
        <v>2</v>
      </c>
      <c r="D92" s="125">
        <v>23215712</v>
      </c>
      <c r="E92" s="126">
        <f>IF(ISBLANK(D92),"-",$D$101/$D$98*D92)</f>
        <v>27023398.199745368</v>
      </c>
      <c r="F92" s="125">
        <v>23965216</v>
      </c>
      <c r="G92" s="127">
        <f>IF(ISBLANK(F92),"-",$D$101/$F$98*F92)</f>
        <v>26842530.39629034</v>
      </c>
      <c r="I92" s="258">
        <f>ABS((F96/D96*D95)-F95)/D95</f>
        <v>6.9508908107405436E-3</v>
      </c>
    </row>
    <row r="93" spans="1:12" ht="26.25" customHeight="1" x14ac:dyDescent="0.45">
      <c r="A93" s="112" t="s">
        <v>67</v>
      </c>
      <c r="B93" s="113">
        <v>1</v>
      </c>
      <c r="C93" s="141">
        <v>3</v>
      </c>
      <c r="D93" s="125">
        <v>23232831</v>
      </c>
      <c r="E93" s="126">
        <f>IF(ISBLANK(D93),"-",$D$101/$D$98*D93)</f>
        <v>27043324.94391679</v>
      </c>
      <c r="F93" s="125">
        <v>24011608</v>
      </c>
      <c r="G93" s="127">
        <f>IF(ISBLANK(F93),"-",$D$101/$F$98*F93)</f>
        <v>26894492.317691121</v>
      </c>
      <c r="I93" s="258"/>
    </row>
    <row r="94" spans="1:12" ht="27" customHeight="1" thickBot="1" x14ac:dyDescent="0.5">
      <c r="A94" s="112" t="s">
        <v>68</v>
      </c>
      <c r="B94" s="113">
        <v>1</v>
      </c>
      <c r="C94" s="198">
        <v>4</v>
      </c>
      <c r="D94" s="129"/>
      <c r="E94" s="130" t="str">
        <f>IF(ISBLANK(D94),"-",$D$101/$D$98*D94)</f>
        <v>-</v>
      </c>
      <c r="F94" s="199"/>
      <c r="G94" s="131" t="str">
        <f>IF(ISBLANK(F94),"-",$D$101/$F$98*F94)</f>
        <v>-</v>
      </c>
      <c r="I94" s="132"/>
    </row>
    <row r="95" spans="1:12" ht="27" customHeight="1" thickBot="1" x14ac:dyDescent="0.5">
      <c r="A95" s="112" t="s">
        <v>69</v>
      </c>
      <c r="B95" s="113">
        <v>1</v>
      </c>
      <c r="C95" s="99" t="s">
        <v>70</v>
      </c>
      <c r="D95" s="200">
        <f>AVERAGE(D91:D94)</f>
        <v>23227606.333333332</v>
      </c>
      <c r="E95" s="135">
        <f>AVERAGE(E91:E94)</f>
        <v>27037243.362279564</v>
      </c>
      <c r="F95" s="201">
        <f>AVERAGE(F91:F94)</f>
        <v>23977604.666666668</v>
      </c>
      <c r="G95" s="202">
        <f>AVERAGE(G91:G94)</f>
        <v>26856406.472415403</v>
      </c>
    </row>
    <row r="96" spans="1:12" ht="26.25" customHeight="1" x14ac:dyDescent="0.45">
      <c r="A96" s="112" t="s">
        <v>71</v>
      </c>
      <c r="B96" s="100">
        <v>1</v>
      </c>
      <c r="C96" s="203" t="s">
        <v>111</v>
      </c>
      <c r="D96" s="204">
        <v>24.21</v>
      </c>
      <c r="E96" s="88"/>
      <c r="F96" s="138">
        <v>25.16</v>
      </c>
    </row>
    <row r="97" spans="1:10" ht="26.25" customHeight="1" x14ac:dyDescent="0.45">
      <c r="A97" s="112" t="s">
        <v>73</v>
      </c>
      <c r="B97" s="100">
        <v>1</v>
      </c>
      <c r="C97" s="205" t="s">
        <v>112</v>
      </c>
      <c r="D97" s="206">
        <f>D96*$B$87</f>
        <v>24.21</v>
      </c>
      <c r="E97" s="141"/>
      <c r="F97" s="140">
        <f>F96*$B$87</f>
        <v>25.16</v>
      </c>
    </row>
    <row r="98" spans="1:10" ht="19.5" customHeight="1" thickBot="1" x14ac:dyDescent="0.4">
      <c r="A98" s="112" t="s">
        <v>75</v>
      </c>
      <c r="B98" s="141">
        <f>(B97/B96)*(B95/B94)*(B93/B92)*(B91/B90)*B89</f>
        <v>500</v>
      </c>
      <c r="C98" s="205" t="s">
        <v>113</v>
      </c>
      <c r="D98" s="207">
        <f>D97*$B$83/100</f>
        <v>23.863796999999998</v>
      </c>
      <c r="E98" s="143"/>
      <c r="F98" s="142">
        <f>F97*$B$83/100</f>
        <v>24.800211999999998</v>
      </c>
    </row>
    <row r="99" spans="1:10" ht="19.5" customHeight="1" thickBot="1" x14ac:dyDescent="0.4">
      <c r="A99" s="259" t="s">
        <v>77</v>
      </c>
      <c r="B99" s="260"/>
      <c r="C99" s="205" t="s">
        <v>78</v>
      </c>
      <c r="D99" s="208">
        <f>D98/$B$98</f>
        <v>4.7727593999999998E-2</v>
      </c>
      <c r="E99" s="143"/>
      <c r="F99" s="146">
        <f>F98/$B$98</f>
        <v>4.9600423999999997E-2</v>
      </c>
      <c r="H99" s="79"/>
    </row>
    <row r="100" spans="1:10" ht="25.8" thickBot="1" x14ac:dyDescent="0.5">
      <c r="A100" s="261"/>
      <c r="B100" s="262"/>
      <c r="C100" s="205" t="s">
        <v>79</v>
      </c>
      <c r="D100" s="148">
        <f>500/900*2/20</f>
        <v>5.5555555555555559E-2</v>
      </c>
      <c r="E100" s="143"/>
      <c r="F100" s="151"/>
      <c r="G100" s="209"/>
      <c r="H100" s="79"/>
    </row>
    <row r="101" spans="1:10" ht="18" x14ac:dyDescent="0.35">
      <c r="C101" s="205" t="s">
        <v>80</v>
      </c>
      <c r="D101" s="206">
        <f>D100*$B$98</f>
        <v>27.777777777777779</v>
      </c>
      <c r="F101" s="151"/>
      <c r="H101" s="79"/>
    </row>
    <row r="102" spans="1:10" ht="19.5" customHeight="1" thickBot="1" x14ac:dyDescent="0.4">
      <c r="C102" s="210" t="s">
        <v>81</v>
      </c>
      <c r="D102" s="211">
        <f>D101/B34</f>
        <v>27.777777777777779</v>
      </c>
      <c r="F102" s="155"/>
      <c r="H102" s="79"/>
      <c r="J102" s="212"/>
    </row>
    <row r="103" spans="1:10" ht="18" x14ac:dyDescent="0.35">
      <c r="C103" s="213" t="s">
        <v>114</v>
      </c>
      <c r="D103" s="214">
        <f>AVERAGE(E91:E94,G91:G94)</f>
        <v>26946824.91734748</v>
      </c>
      <c r="F103" s="155"/>
      <c r="G103" s="209"/>
      <c r="H103" s="79"/>
      <c r="J103" s="215"/>
    </row>
    <row r="104" spans="1:10" ht="18" x14ac:dyDescent="0.35">
      <c r="C104" s="188" t="s">
        <v>83</v>
      </c>
      <c r="D104" s="216">
        <f>STDEV(E91:E94,G91:G94)/D103</f>
        <v>3.768865424960409E-3</v>
      </c>
      <c r="F104" s="155"/>
      <c r="H104" s="79"/>
      <c r="J104" s="215"/>
    </row>
    <row r="105" spans="1:10" ht="19.5" customHeight="1" thickBot="1" x14ac:dyDescent="0.4">
      <c r="C105" s="190" t="s">
        <v>20</v>
      </c>
      <c r="D105" s="217">
        <f>COUNT(E91:E94,G91:G94)</f>
        <v>6</v>
      </c>
      <c r="F105" s="155"/>
      <c r="H105" s="79"/>
      <c r="J105" s="215"/>
    </row>
    <row r="106" spans="1:10" ht="19.5" customHeight="1" thickBot="1" x14ac:dyDescent="0.4">
      <c r="A106" s="159"/>
      <c r="B106" s="159"/>
      <c r="C106" s="159"/>
      <c r="D106" s="159"/>
      <c r="E106" s="159"/>
    </row>
    <row r="107" spans="1:10" ht="26.25" customHeight="1" x14ac:dyDescent="0.45">
      <c r="A107" s="110" t="s">
        <v>115</v>
      </c>
      <c r="B107" s="111">
        <v>900</v>
      </c>
      <c r="C107" s="193" t="s">
        <v>127</v>
      </c>
      <c r="D107" s="218" t="s">
        <v>62</v>
      </c>
      <c r="E107" s="219" t="s">
        <v>116</v>
      </c>
      <c r="F107" s="220" t="s">
        <v>117</v>
      </c>
    </row>
    <row r="108" spans="1:10" ht="26.25" customHeight="1" x14ac:dyDescent="0.45">
      <c r="A108" s="112" t="s">
        <v>118</v>
      </c>
      <c r="B108" s="113">
        <v>2</v>
      </c>
      <c r="C108" s="221">
        <v>1</v>
      </c>
      <c r="D108" s="222">
        <v>26786338</v>
      </c>
      <c r="E108" s="223">
        <f t="shared" ref="E108:E113" si="1">IF(ISBLANK(D108),"-",D108/$D$103*$D$100*$B$116)</f>
        <v>497.02215534038368</v>
      </c>
      <c r="F108" s="224">
        <f>IF(ISBLANK(D108), "-", E108/$B$56)</f>
        <v>0.99404431068076737</v>
      </c>
      <c r="H108" s="312"/>
    </row>
    <row r="109" spans="1:10" ht="26.25" customHeight="1" x14ac:dyDescent="0.45">
      <c r="A109" s="112" t="s">
        <v>93</v>
      </c>
      <c r="B109" s="113">
        <v>20</v>
      </c>
      <c r="C109" s="221">
        <v>2</v>
      </c>
      <c r="D109" s="222">
        <v>28930330</v>
      </c>
      <c r="E109" s="225">
        <f t="shared" si="1"/>
        <v>536.80405926739832</v>
      </c>
      <c r="F109" s="226">
        <f t="shared" ref="F108:F113" si="2">IF(ISBLANK(D109), "-", E109/$B$56)</f>
        <v>1.0736081185347965</v>
      </c>
      <c r="H109" s="312"/>
    </row>
    <row r="110" spans="1:10" ht="26.25" customHeight="1" x14ac:dyDescent="0.45">
      <c r="A110" s="112" t="s">
        <v>94</v>
      </c>
      <c r="B110" s="113">
        <v>1</v>
      </c>
      <c r="C110" s="221">
        <v>3</v>
      </c>
      <c r="D110" s="222">
        <v>28925677</v>
      </c>
      <c r="E110" s="225">
        <f t="shared" si="1"/>
        <v>536.71772256512861</v>
      </c>
      <c r="F110" s="226">
        <f t="shared" si="2"/>
        <v>1.0734354451302572</v>
      </c>
      <c r="H110" s="312"/>
    </row>
    <row r="111" spans="1:10" ht="26.25" customHeight="1" x14ac:dyDescent="0.45">
      <c r="A111" s="112" t="s">
        <v>95</v>
      </c>
      <c r="B111" s="113">
        <v>1</v>
      </c>
      <c r="C111" s="221">
        <v>4</v>
      </c>
      <c r="D111" s="222">
        <v>26263510</v>
      </c>
      <c r="E111" s="225">
        <f t="shared" si="1"/>
        <v>487.3210495217271</v>
      </c>
      <c r="F111" s="226">
        <f t="shared" si="2"/>
        <v>0.97464209904345422</v>
      </c>
      <c r="H111" s="312"/>
    </row>
    <row r="112" spans="1:10" ht="26.25" customHeight="1" x14ac:dyDescent="0.45">
      <c r="A112" s="112" t="s">
        <v>96</v>
      </c>
      <c r="B112" s="113">
        <v>1</v>
      </c>
      <c r="C112" s="221">
        <v>5</v>
      </c>
      <c r="D112" s="222">
        <v>28743777</v>
      </c>
      <c r="E112" s="225">
        <f t="shared" si="1"/>
        <v>533.34255683488152</v>
      </c>
      <c r="F112" s="226">
        <f t="shared" si="2"/>
        <v>1.066685113669763</v>
      </c>
      <c r="H112" s="312"/>
    </row>
    <row r="113" spans="1:10" ht="26.25" customHeight="1" x14ac:dyDescent="0.45">
      <c r="A113" s="112" t="s">
        <v>98</v>
      </c>
      <c r="B113" s="113">
        <v>1</v>
      </c>
      <c r="C113" s="227">
        <v>6</v>
      </c>
      <c r="D113" s="228">
        <v>25850609</v>
      </c>
      <c r="E113" s="229">
        <f t="shared" si="1"/>
        <v>479.65964597480701</v>
      </c>
      <c r="F113" s="230">
        <f t="shared" si="2"/>
        <v>0.95931929194961396</v>
      </c>
      <c r="H113" s="312"/>
    </row>
    <row r="114" spans="1:10" ht="26.25" customHeight="1" x14ac:dyDescent="0.45">
      <c r="A114" s="112" t="s">
        <v>99</v>
      </c>
      <c r="B114" s="113">
        <v>1</v>
      </c>
      <c r="C114" s="221"/>
      <c r="D114" s="141"/>
      <c r="E114" s="88"/>
      <c r="F114" s="231"/>
    </row>
    <row r="115" spans="1:10" ht="26.25" customHeight="1" x14ac:dyDescent="0.45">
      <c r="A115" s="112" t="s">
        <v>100</v>
      </c>
      <c r="B115" s="113">
        <v>1</v>
      </c>
      <c r="C115" s="221"/>
      <c r="D115" s="232" t="s">
        <v>70</v>
      </c>
      <c r="E115" s="233">
        <f>AVERAGE(E108:E113)</f>
        <v>511.81119825072113</v>
      </c>
      <c r="F115" s="234">
        <f>AVERAGE(F108:F113)</f>
        <v>1.0236223965014422</v>
      </c>
    </row>
    <row r="116" spans="1:10" ht="27" customHeight="1" thickBot="1" x14ac:dyDescent="0.5">
      <c r="A116" s="112" t="s">
        <v>101</v>
      </c>
      <c r="B116" s="124">
        <f>(B115/B114)*(B113/B112)*(B111/B110)*(B109/B108)*B107</f>
        <v>9000</v>
      </c>
      <c r="C116" s="235"/>
      <c r="D116" s="99" t="s">
        <v>83</v>
      </c>
      <c r="E116" s="236">
        <f>STDEV(E108:E113)/E115</f>
        <v>5.2140832935922241E-2</v>
      </c>
      <c r="F116" s="236">
        <f>STDEV(F108:F113)/F115</f>
        <v>5.2140832935922234E-2</v>
      </c>
      <c r="I116" s="88"/>
    </row>
    <row r="117" spans="1:10" ht="27" customHeight="1" thickBot="1" x14ac:dyDescent="0.5">
      <c r="A117" s="259" t="s">
        <v>77</v>
      </c>
      <c r="B117" s="263"/>
      <c r="C117" s="237"/>
      <c r="D117" s="238" t="s">
        <v>20</v>
      </c>
      <c r="E117" s="239">
        <f>COUNT(E108:E113)</f>
        <v>6</v>
      </c>
      <c r="F117" s="239">
        <f>COUNT(F108:F113)</f>
        <v>6</v>
      </c>
      <c r="I117" s="88"/>
      <c r="J117" s="215"/>
    </row>
    <row r="118" spans="1:10" ht="19.5" customHeight="1" thickBot="1" x14ac:dyDescent="0.4">
      <c r="A118" s="261"/>
      <c r="B118" s="264"/>
      <c r="C118" s="88"/>
      <c r="D118" s="88"/>
      <c r="E118" s="88"/>
      <c r="F118" s="141"/>
      <c r="G118" s="88"/>
      <c r="H118" s="88"/>
      <c r="I118" s="88"/>
    </row>
    <row r="119" spans="1:10" ht="18" x14ac:dyDescent="0.35">
      <c r="A119" s="240"/>
      <c r="B119" s="108"/>
      <c r="C119" s="88"/>
      <c r="D119" s="88"/>
      <c r="E119" s="88"/>
      <c r="F119" s="141"/>
      <c r="G119" s="88"/>
      <c r="H119" s="88"/>
      <c r="I119" s="88"/>
    </row>
    <row r="120" spans="1:10" ht="26.25" customHeight="1" x14ac:dyDescent="0.45">
      <c r="A120" s="98" t="s">
        <v>104</v>
      </c>
      <c r="B120" s="99" t="s">
        <v>119</v>
      </c>
      <c r="C120" s="265" t="str">
        <f>B20</f>
        <v>Ornidazole</v>
      </c>
      <c r="D120" s="265"/>
      <c r="E120" s="88" t="s">
        <v>120</v>
      </c>
      <c r="F120" s="88"/>
      <c r="G120" s="192">
        <f>F115</f>
        <v>1.0236223965014422</v>
      </c>
      <c r="H120" s="88"/>
      <c r="I120" s="88"/>
    </row>
    <row r="121" spans="1:10" ht="19.5" customHeight="1" thickBot="1" x14ac:dyDescent="0.4">
      <c r="A121" s="241"/>
      <c r="B121" s="241"/>
      <c r="C121" s="242"/>
      <c r="D121" s="242"/>
      <c r="E121" s="242"/>
      <c r="F121" s="242"/>
      <c r="G121" s="242"/>
      <c r="H121" s="242"/>
    </row>
    <row r="122" spans="1:10" ht="18" x14ac:dyDescent="0.35">
      <c r="B122" s="266" t="s">
        <v>25</v>
      </c>
      <c r="C122" s="266"/>
      <c r="E122" s="195" t="s">
        <v>26</v>
      </c>
      <c r="F122" s="243"/>
      <c r="G122" s="266" t="s">
        <v>27</v>
      </c>
      <c r="H122" s="266"/>
    </row>
    <row r="123" spans="1:10" ht="69.900000000000006" customHeight="1" x14ac:dyDescent="0.35">
      <c r="A123" s="98" t="s">
        <v>28</v>
      </c>
      <c r="B123" s="244"/>
      <c r="C123" s="244"/>
      <c r="E123" s="244"/>
      <c r="F123" s="88"/>
      <c r="G123" s="244"/>
      <c r="H123" s="244"/>
    </row>
    <row r="124" spans="1:10" ht="69.900000000000006" customHeight="1" x14ac:dyDescent="0.35">
      <c r="A124" s="98" t="s">
        <v>29</v>
      </c>
      <c r="B124" s="245"/>
      <c r="C124" s="310" t="s">
        <v>124</v>
      </c>
      <c r="D124" s="313"/>
      <c r="E124" s="314">
        <v>42415</v>
      </c>
      <c r="F124" s="88"/>
      <c r="G124" s="246"/>
      <c r="H124" s="246"/>
    </row>
    <row r="125" spans="1:10" ht="18" x14ac:dyDescent="0.35">
      <c r="A125" s="141"/>
      <c r="B125" s="141"/>
      <c r="C125" s="141"/>
      <c r="D125" s="141"/>
      <c r="E125" s="141"/>
      <c r="F125" s="143"/>
      <c r="G125" s="141"/>
      <c r="H125" s="141"/>
      <c r="I125" s="88"/>
    </row>
    <row r="126" spans="1:10" ht="18" x14ac:dyDescent="0.35">
      <c r="A126" s="141"/>
      <c r="B126" s="141"/>
      <c r="C126" s="141"/>
      <c r="D126" s="141"/>
      <c r="E126" s="141"/>
      <c r="F126" s="143"/>
      <c r="G126" s="141"/>
      <c r="H126" s="141"/>
      <c r="I126" s="88"/>
    </row>
    <row r="127" spans="1:10" ht="18" x14ac:dyDescent="0.35">
      <c r="A127" s="141"/>
      <c r="B127" s="141"/>
      <c r="C127" s="141"/>
      <c r="D127" s="141"/>
      <c r="E127" s="141"/>
      <c r="F127" s="143"/>
      <c r="G127" s="141"/>
      <c r="H127" s="141"/>
      <c r="I127" s="88"/>
    </row>
    <row r="128" spans="1:10" ht="18" x14ac:dyDescent="0.35">
      <c r="A128" s="141"/>
      <c r="B128" s="141"/>
      <c r="C128" s="141"/>
      <c r="D128" s="141"/>
      <c r="E128" s="141"/>
      <c r="F128" s="143"/>
      <c r="G128" s="141"/>
      <c r="H128" s="141"/>
      <c r="I128" s="88"/>
    </row>
    <row r="129" spans="1:9" ht="18" x14ac:dyDescent="0.35">
      <c r="A129" s="141"/>
      <c r="B129" s="141"/>
      <c r="C129" s="141"/>
      <c r="D129" s="141"/>
      <c r="E129" s="141"/>
      <c r="F129" s="143"/>
      <c r="G129" s="141"/>
      <c r="H129" s="141"/>
      <c r="I129" s="88"/>
    </row>
    <row r="130" spans="1:9" ht="18" x14ac:dyDescent="0.35">
      <c r="A130" s="141"/>
      <c r="B130" s="141"/>
      <c r="C130" s="141"/>
      <c r="D130" s="141"/>
      <c r="E130" s="141"/>
      <c r="F130" s="143"/>
      <c r="G130" s="141"/>
      <c r="H130" s="141"/>
      <c r="I130" s="88"/>
    </row>
    <row r="131" spans="1:9" ht="18" x14ac:dyDescent="0.35">
      <c r="A131" s="141"/>
      <c r="B131" s="141"/>
      <c r="C131" s="141"/>
      <c r="D131" s="141"/>
      <c r="E131" s="141"/>
      <c r="F131" s="143"/>
      <c r="G131" s="141"/>
      <c r="H131" s="141"/>
      <c r="I131" s="88"/>
    </row>
    <row r="132" spans="1:9" ht="18" x14ac:dyDescent="0.35">
      <c r="A132" s="141"/>
      <c r="B132" s="141"/>
      <c r="C132" s="141"/>
      <c r="D132" s="141"/>
      <c r="E132" s="141"/>
      <c r="F132" s="143"/>
      <c r="G132" s="141"/>
      <c r="H132" s="141"/>
      <c r="I132" s="88"/>
    </row>
    <row r="133" spans="1:9" ht="18" x14ac:dyDescent="0.35">
      <c r="A133" s="141"/>
      <c r="B133" s="141"/>
      <c r="C133" s="141"/>
      <c r="D133" s="141"/>
      <c r="E133" s="141"/>
      <c r="F133" s="143"/>
      <c r="G133" s="141"/>
      <c r="H133" s="141"/>
      <c r="I133" s="88"/>
    </row>
    <row r="250" spans="1:1" x14ac:dyDescent="0.3">
      <c r="A250" s="4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</vt:lpstr>
      <vt:lpstr>Uniformity</vt:lpstr>
      <vt:lpstr>ornidazole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2016-02-15T12:04:23Z</dcterms:modified>
</cp:coreProperties>
</file>