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/>
  </bookViews>
  <sheets>
    <sheet name="SST (A)" sheetId="1" r:id="rId1"/>
    <sheet name="Uniformity" sheetId="2" r:id="rId2"/>
    <sheet name="Artesunate" sheetId="5" r:id="rId3"/>
  </sheets>
  <definedNames>
    <definedName name="_xlnm.Print_Area" localSheetId="2">Artesunate!$A$1:$N$125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D100" i="5" l="1"/>
  <c r="B98" i="5"/>
  <c r="F95" i="5"/>
  <c r="D95" i="5"/>
  <c r="E94" i="5"/>
  <c r="B87" i="5"/>
  <c r="F97" i="5" s="1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17" i="1"/>
  <c r="F98" i="5" l="1"/>
  <c r="F99" i="5" s="1"/>
  <c r="D101" i="5"/>
  <c r="D102" i="5" s="1"/>
  <c r="D46" i="5"/>
  <c r="I92" i="5"/>
  <c r="I39" i="5"/>
  <c r="F45" i="5"/>
  <c r="F46" i="5" s="1"/>
  <c r="E39" i="5"/>
  <c r="D49" i="5"/>
  <c r="E40" i="5"/>
  <c r="E38" i="5"/>
  <c r="C76" i="5"/>
  <c r="D97" i="5"/>
  <c r="D98" i="5" s="1"/>
  <c r="D99" i="5" s="1"/>
  <c r="C56" i="5"/>
  <c r="B21" i="1"/>
  <c r="G38" i="5" l="1"/>
  <c r="G40" i="5"/>
  <c r="G91" i="5"/>
  <c r="E92" i="5"/>
  <c r="G93" i="5"/>
  <c r="G92" i="5"/>
  <c r="E91" i="5"/>
  <c r="E93" i="5"/>
  <c r="G39" i="5"/>
  <c r="E42" i="5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52" i="5" l="1"/>
  <c r="G95" i="5"/>
  <c r="D105" i="5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H74" i="5" l="1"/>
  <c r="H72" i="5"/>
  <c r="G76" i="5" s="1"/>
  <c r="F117" i="5"/>
  <c r="F115" i="5"/>
  <c r="G120" i="5" s="1"/>
  <c r="H73" i="5" l="1"/>
  <c r="F116" i="5"/>
</calcChain>
</file>

<file path=xl/sharedStrings.xml><?xml version="1.0" encoding="utf-8"?>
<sst xmlns="http://schemas.openxmlformats.org/spreadsheetml/2006/main" count="230" uniqueCount="128">
  <si>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</si>
  <si>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</si>
  <si>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</si>
  <si>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</si>
  <si>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</si>
  <si>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</si>
  <si>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</si>
  <si>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</si>
  <si>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</si>
  <si>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</si>
  <si>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</si>
  <si>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</si>
  <si>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</si>
  <si>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</si>
  <si>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</si>
  <si>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</si>
  <si>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</si>
  <si>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</si>
  <si>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</si>
  <si>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</si>
  <si>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</si>
  <si>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</si>
  <si>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</si>
  <si>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</si>
  <si>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</si>
  <si>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</si>
  <si>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</si>
  <si>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</si>
  <si>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</si>
  <si>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</si>
  <si>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</si>
  <si>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</si>
  <si>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</si>
  <si>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</si>
  <si>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</si>
  <si>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</si>
  <si>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</si>
  <si>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</si>
  <si>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</si>
  <si>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</si>
  <si>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</si>
  <si>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</si>
  <si>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</si>
  <si>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</si>
  <si>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</si>
  <si>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</si>
  <si>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</si>
  <si>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</si>
  <si>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</si>
  <si>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</si>
  <si>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</si>
  <si>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</si>
  <si>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</si>
  <si>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</si>
  <si>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</si>
  <si>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</si>
  <si>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</si>
  <si>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</si>
  <si>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</si>
  <si>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</si>
  <si>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</si>
  <si>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</si>
  <si>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</si>
  <si>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</si>
  <si>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</si>
  <si>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</si>
  <si>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</si>
  <si>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</si>
  <si>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</si>
  <si>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</si>
  <si>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</si>
  <si>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</si>
  <si>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</si>
  <si>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</si>
  <si>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</si>
  <si>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</si>
  <si>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</si>
  <si>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</si>
  <si>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</si>
  <si>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</si>
  <si>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</si>
  <si>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</si>
  <si>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</si>
  <si>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</si>
  <si>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</si>
  <si>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</si>
  <si>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</si>
  <si>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</si>
  <si>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</si>
  <si>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</si>
  <si>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</si>
  <si>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</si>
  <si>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</si>
  <si>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</si>
  <si>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</si>
  <si>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</si>
  <si>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</si>
  <si>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</si>
  <si>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</si>
  <si>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</si>
  <si>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</si>
  <si>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</si>
  <si>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</si>
  <si>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</si>
  <si>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</si>
  <si>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</si>
  <si>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</si>
  <si>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</si>
  <si>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</si>
  <si>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</si>
  <si>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</si>
  <si>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</si>
  <si>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</si>
  <si>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</si>
  <si>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</si>
  <si>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</si>
  <si>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</si>
  <si>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</si>
  <si>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</si>
  <si>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</si>
  <si>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</si>
  <si>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</si>
  <si>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</si>
  <si>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</si>
  <si>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</si>
  <si>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A15 2</t>
  </si>
  <si>
    <t>NDQD201508225</t>
  </si>
  <si>
    <t>Each suppository contains Artesunate 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</si>
</sst>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2" borderId="0"/>
  </cellStyleXfs>
  <cellXfs count="33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4" borderId="35" xfId="0" applyNumberFormat="1" applyFont="1" applyFill="1" applyBorder="1" applyAlignment="1">
      <alignment horizontal="center"/>
    </xf>
    <xf numFmtId="1" fontId="5" fillId="4" borderId="5" xfId="0" applyNumberFormat="1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0" fontId="7" fillId="3" borderId="0" xfId="0" applyFont="1" applyFill="1" applyBorder="1" applyAlignment="1" applyProtection="1">
      <alignment horizontal="center"/>
      <protection locked="0"/>
    </xf>
    <xf numFmtId="0" fontId="7" fillId="3" borderId="60" xfId="0" applyFont="1" applyFill="1" applyBorder="1" applyAlignment="1" applyProtection="1">
      <alignment horizontal="center"/>
      <protection locked="0"/>
    </xf>
    <xf numFmtId="2" fontId="7" fillId="3" borderId="61" xfId="0" applyNumberFormat="1" applyFont="1" applyFill="1" applyBorder="1" applyAlignment="1" applyProtection="1">
      <alignment horizontal="center"/>
      <protection locked="0"/>
    </xf>
    <xf numFmtId="2" fontId="7" fillId="3" borderId="62" xfId="0" applyNumberFormat="1" applyFont="1" applyFill="1" applyBorder="1" applyAlignment="1" applyProtection="1">
      <alignment horizontal="center"/>
      <protection locked="0"/>
    </xf>
    <xf numFmtId="0" fontId="7" fillId="3" borderId="63" xfId="0" applyFont="1" applyFill="1" applyBorder="1" applyAlignment="1" applyProtection="1">
      <alignment horizontal="center"/>
      <protection locked="0"/>
    </xf>
    <xf numFmtId="2" fontId="7" fillId="3" borderId="64" xfId="0" applyNumberFormat="1" applyFont="1" applyFill="1" applyBorder="1" applyAlignment="1" applyProtection="1">
      <alignment horizontal="center"/>
      <protection locked="0"/>
    </xf>
    <xf numFmtId="0" fontId="7" fillId="3" borderId="65" xfId="0" applyFont="1" applyFill="1" applyBorder="1" applyAlignment="1" applyProtection="1">
      <alignment horizontal="center"/>
      <protection locked="0"/>
    </xf>
    <xf numFmtId="0" fontId="7" fillId="3" borderId="66" xfId="0" applyFont="1" applyFill="1" applyBorder="1" applyAlignment="1" applyProtection="1">
      <alignment horizontal="center"/>
      <protection locked="0"/>
    </xf>
    <xf numFmtId="0" fontId="7" fillId="3" borderId="67" xfId="0" applyFont="1" applyFill="1" applyBorder="1" applyAlignment="1" applyProtection="1">
      <alignment horizontal="center"/>
      <protection locked="0"/>
    </xf>
    <xf numFmtId="2" fontId="7" fillId="3" borderId="65" xfId="0" applyNumberFormat="1" applyFont="1" applyFill="1" applyBorder="1" applyAlignment="1" applyProtection="1">
      <alignment horizontal="center"/>
      <protection locked="0"/>
    </xf>
    <xf numFmtId="2" fontId="7" fillId="3" borderId="66" xfId="0" applyNumberFormat="1" applyFont="1" applyFill="1" applyBorder="1" applyAlignment="1" applyProtection="1">
      <alignment horizontal="center"/>
      <protection locked="0"/>
    </xf>
    <xf numFmtId="2" fontId="7" fillId="3" borderId="67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28" zoomScale="90" zoomScaleNormal="100" zoomScaleSheetLayoutView="90" workbookViewId="0">
      <selection activeCell="B24" sqref="B24: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3" t="s">
        <v>0</v>
      </c>
      <c r="B15" s="273"/>
      <c r="C15" s="273"/>
      <c r="D15" s="273"/>
      <c r="E15" s="27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27.22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B20/10*1/25</f>
        <v>0.10888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322" t="s">
        <v>9</v>
      </c>
      <c r="C23" s="323" t="s">
        <v>10</v>
      </c>
      <c r="D23" s="323" t="s">
        <v>11</v>
      </c>
      <c r="E23" s="323" t="s">
        <v>12</v>
      </c>
    </row>
    <row r="24" spans="1:6" ht="16.5" customHeight="1" x14ac:dyDescent="0.3">
      <c r="A24" s="321">
        <v>1</v>
      </c>
      <c r="B24" s="333">
        <v>3804356</v>
      </c>
      <c r="C24" s="328">
        <v>8482.7999999999993</v>
      </c>
      <c r="D24" s="336">
        <v>1</v>
      </c>
      <c r="E24" s="329">
        <v>8.5</v>
      </c>
    </row>
    <row r="25" spans="1:6" ht="16.5" customHeight="1" x14ac:dyDescent="0.3">
      <c r="A25" s="321">
        <v>2</v>
      </c>
      <c r="B25" s="334">
        <v>3833845</v>
      </c>
      <c r="C25" s="327">
        <v>8435.4</v>
      </c>
      <c r="D25" s="337">
        <v>1</v>
      </c>
      <c r="E25" s="330">
        <v>8.5</v>
      </c>
    </row>
    <row r="26" spans="1:6" ht="16.5" customHeight="1" x14ac:dyDescent="0.3">
      <c r="A26" s="321">
        <v>3</v>
      </c>
      <c r="B26" s="334">
        <v>3831175</v>
      </c>
      <c r="C26" s="327">
        <v>8432.4</v>
      </c>
      <c r="D26" s="337">
        <v>1</v>
      </c>
      <c r="E26" s="330">
        <v>8.5</v>
      </c>
    </row>
    <row r="27" spans="1:6" ht="16.5" customHeight="1" x14ac:dyDescent="0.3">
      <c r="A27" s="321">
        <v>4</v>
      </c>
      <c r="B27" s="334">
        <v>3809340</v>
      </c>
      <c r="C27" s="327">
        <v>8471.2000000000007</v>
      </c>
      <c r="D27" s="337">
        <v>1</v>
      </c>
      <c r="E27" s="330">
        <v>8.5</v>
      </c>
    </row>
    <row r="28" spans="1:6" ht="16.5" customHeight="1" x14ac:dyDescent="0.3">
      <c r="A28" s="321">
        <v>5</v>
      </c>
      <c r="B28" s="334">
        <v>3820925</v>
      </c>
      <c r="C28" s="327">
        <v>8451.7000000000007</v>
      </c>
      <c r="D28" s="337">
        <v>1.1000000000000001</v>
      </c>
      <c r="E28" s="330">
        <v>8.5</v>
      </c>
    </row>
    <row r="29" spans="1:6" ht="16.5" customHeight="1" x14ac:dyDescent="0.3">
      <c r="A29" s="321">
        <v>6</v>
      </c>
      <c r="B29" s="335">
        <v>3831179</v>
      </c>
      <c r="C29" s="331">
        <v>8441.5</v>
      </c>
      <c r="D29" s="338">
        <v>1</v>
      </c>
      <c r="E29" s="332">
        <v>8.5</v>
      </c>
    </row>
    <row r="30" spans="1:6" ht="16.5" customHeight="1" x14ac:dyDescent="0.3">
      <c r="A30" s="23" t="s">
        <v>13</v>
      </c>
      <c r="B30" s="324">
        <f>AVERAGE(B24:B29)</f>
        <v>3821803.3333333335</v>
      </c>
      <c r="C30" s="325">
        <f>AVERAGE(C24:C29)</f>
        <v>8452.5</v>
      </c>
      <c r="D30" s="326">
        <f>AVERAGE(D24:D29)</f>
        <v>1.0166666666666666</v>
      </c>
      <c r="E30" s="326">
        <f>AVERAGE(E24:E29)</f>
        <v>8.5</v>
      </c>
    </row>
    <row r="31" spans="1:6" ht="16.5" customHeight="1" x14ac:dyDescent="0.3">
      <c r="A31" s="27" t="s">
        <v>14</v>
      </c>
      <c r="B31" s="28">
        <f>(STDEV(B24:B29)/B30)</f>
        <v>3.2707043226526248E-3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56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74" t="s">
        <v>21</v>
      </c>
      <c r="C59" s="274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70" t="s">
        <v>120</v>
      </c>
      <c r="C60" s="48"/>
      <c r="E60" s="267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C46" sqref="C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78" t="s">
        <v>26</v>
      </c>
      <c r="B11" s="279"/>
      <c r="C11" s="279"/>
      <c r="D11" s="279"/>
      <c r="E11" s="279"/>
      <c r="F11" s="280"/>
      <c r="G11" s="90"/>
    </row>
    <row r="12" spans="1:7" ht="16.5" customHeight="1" x14ac:dyDescent="0.3">
      <c r="A12" s="277" t="s">
        <v>27</v>
      </c>
      <c r="B12" s="277"/>
      <c r="C12" s="277"/>
      <c r="D12" s="277"/>
      <c r="E12" s="277"/>
      <c r="F12" s="277"/>
      <c r="G12" s="89"/>
    </row>
    <row r="14" spans="1:7" ht="16.5" customHeight="1" x14ac:dyDescent="0.3">
      <c r="A14" s="282" t="s">
        <v>28</v>
      </c>
      <c r="B14" s="282"/>
      <c r="C14" s="60" t="s">
        <v>122</v>
      </c>
    </row>
    <row r="15" spans="1:7" ht="16.5" customHeight="1" x14ac:dyDescent="0.3">
      <c r="A15" s="282" t="s">
        <v>29</v>
      </c>
      <c r="B15" s="282"/>
      <c r="C15" s="60" t="s">
        <v>126</v>
      </c>
    </row>
    <row r="16" spans="1:7" ht="16.5" customHeight="1" x14ac:dyDescent="0.3">
      <c r="A16" s="282" t="s">
        <v>30</v>
      </c>
      <c r="B16" s="282"/>
      <c r="C16" s="60" t="s">
        <v>123</v>
      </c>
    </row>
    <row r="17" spans="1:5" ht="16.5" customHeight="1" x14ac:dyDescent="0.3">
      <c r="A17" s="282" t="s">
        <v>31</v>
      </c>
      <c r="B17" s="282"/>
      <c r="C17" s="60" t="s">
        <v>127</v>
      </c>
    </row>
    <row r="18" spans="1:5" ht="16.5" customHeight="1" x14ac:dyDescent="0.3">
      <c r="A18" s="282" t="s">
        <v>32</v>
      </c>
      <c r="B18" s="282"/>
      <c r="C18" s="96">
        <v>42312</v>
      </c>
    </row>
    <row r="19" spans="1:5" ht="16.5" customHeight="1" x14ac:dyDescent="0.3">
      <c r="A19" s="282" t="s">
        <v>33</v>
      </c>
      <c r="B19" s="282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277" t="s">
        <v>1</v>
      </c>
      <c r="B21" s="277"/>
      <c r="C21" s="59" t="s">
        <v>34</v>
      </c>
      <c r="D21" s="66"/>
    </row>
    <row r="22" spans="1:5" ht="15.75" customHeight="1" x14ac:dyDescent="0.3">
      <c r="A22" s="281"/>
      <c r="B22" s="281"/>
      <c r="C22" s="57"/>
      <c r="D22" s="281"/>
      <c r="E22" s="281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999.97</v>
      </c>
      <c r="D24" s="86">
        <f t="shared" ref="D24:D43" si="0">(C24-$C$46)/$C$46</f>
        <v>2.2179749177403431E-3</v>
      </c>
      <c r="E24" s="53"/>
    </row>
    <row r="25" spans="1:5" ht="15.75" customHeight="1" x14ac:dyDescent="0.3">
      <c r="C25" s="94">
        <v>1000.97</v>
      </c>
      <c r="D25" s="87">
        <f t="shared" si="0"/>
        <v>3.2202229600993542E-3</v>
      </c>
      <c r="E25" s="53"/>
    </row>
    <row r="26" spans="1:5" ht="15.75" customHeight="1" x14ac:dyDescent="0.3">
      <c r="C26" s="94">
        <v>999.79</v>
      </c>
      <c r="D26" s="87">
        <f t="shared" si="0"/>
        <v>2.0375702701156571E-3</v>
      </c>
      <c r="E26" s="53"/>
    </row>
    <row r="27" spans="1:5" ht="15.75" customHeight="1" x14ac:dyDescent="0.3">
      <c r="C27" s="94">
        <v>999.54</v>
      </c>
      <c r="D27" s="87">
        <f t="shared" si="0"/>
        <v>1.7870082595259043E-3</v>
      </c>
      <c r="E27" s="53"/>
    </row>
    <row r="28" spans="1:5" ht="15.75" customHeight="1" x14ac:dyDescent="0.3">
      <c r="C28" s="94">
        <v>979.78</v>
      </c>
      <c r="D28" s="87">
        <f t="shared" si="0"/>
        <v>-1.8017413057488146E-2</v>
      </c>
      <c r="E28" s="53"/>
    </row>
    <row r="29" spans="1:5" ht="15.75" customHeight="1" x14ac:dyDescent="0.3">
      <c r="C29" s="94">
        <v>1006.63</v>
      </c>
      <c r="D29" s="87">
        <f t="shared" si="0"/>
        <v>8.8929468798513243E-3</v>
      </c>
      <c r="E29" s="53"/>
    </row>
    <row r="30" spans="1:5" ht="15.75" customHeight="1" x14ac:dyDescent="0.3">
      <c r="C30" s="94">
        <v>1005.59</v>
      </c>
      <c r="D30" s="87">
        <f t="shared" si="0"/>
        <v>7.8506089157979898E-3</v>
      </c>
      <c r="E30" s="53"/>
    </row>
    <row r="31" spans="1:5" ht="15.75" customHeight="1" x14ac:dyDescent="0.3">
      <c r="C31" s="94">
        <v>1007.77</v>
      </c>
      <c r="D31" s="87">
        <f t="shared" si="0"/>
        <v>1.0035509648140584E-2</v>
      </c>
      <c r="E31" s="53"/>
    </row>
    <row r="32" spans="1:5" ht="15.75" customHeight="1" x14ac:dyDescent="0.3">
      <c r="C32" s="94">
        <v>990.28</v>
      </c>
      <c r="D32" s="87">
        <f t="shared" si="0"/>
        <v>-7.4938086127185289E-3</v>
      </c>
      <c r="E32" s="53"/>
    </row>
    <row r="33" spans="1:7" ht="15.75" customHeight="1" x14ac:dyDescent="0.3">
      <c r="C33" s="94">
        <v>994.73</v>
      </c>
      <c r="D33" s="87">
        <f t="shared" si="0"/>
        <v>-3.0338048242208844E-3</v>
      </c>
      <c r="E33" s="53"/>
    </row>
    <row r="34" spans="1:7" ht="15.75" customHeight="1" x14ac:dyDescent="0.3">
      <c r="C34" s="94">
        <v>994.32</v>
      </c>
      <c r="D34" s="87">
        <f t="shared" si="0"/>
        <v>-3.444726521588047E-3</v>
      </c>
      <c r="E34" s="53"/>
    </row>
    <row r="35" spans="1:7" ht="15.75" customHeight="1" x14ac:dyDescent="0.3">
      <c r="C35" s="94">
        <v>989.75</v>
      </c>
      <c r="D35" s="87">
        <f t="shared" si="0"/>
        <v>-8.0250000751687783E-3</v>
      </c>
      <c r="E35" s="53"/>
    </row>
    <row r="36" spans="1:7" ht="15.75" customHeight="1" x14ac:dyDescent="0.3">
      <c r="C36" s="94">
        <v>993.77</v>
      </c>
      <c r="D36" s="87">
        <f t="shared" si="0"/>
        <v>-3.9959629448855713E-3</v>
      </c>
      <c r="E36" s="53"/>
    </row>
    <row r="37" spans="1:7" ht="15.75" customHeight="1" x14ac:dyDescent="0.3">
      <c r="C37" s="94">
        <v>1005.56</v>
      </c>
      <c r="D37" s="87">
        <f t="shared" si="0"/>
        <v>7.8205414745271332E-3</v>
      </c>
      <c r="E37" s="53"/>
    </row>
    <row r="38" spans="1:7" ht="15.75" customHeight="1" x14ac:dyDescent="0.3">
      <c r="C38" s="94">
        <v>996.99</v>
      </c>
      <c r="D38" s="87">
        <f t="shared" si="0"/>
        <v>-7.6872424848952836E-4</v>
      </c>
      <c r="E38" s="53"/>
    </row>
    <row r="39" spans="1:7" ht="15.75" customHeight="1" x14ac:dyDescent="0.3">
      <c r="C39" s="94">
        <v>1003.1</v>
      </c>
      <c r="D39" s="87">
        <f t="shared" si="0"/>
        <v>5.3550112903240433E-3</v>
      </c>
      <c r="E39" s="53"/>
    </row>
    <row r="40" spans="1:7" ht="15.75" customHeight="1" x14ac:dyDescent="0.3">
      <c r="C40" s="94">
        <v>997.65</v>
      </c>
      <c r="D40" s="87">
        <f t="shared" si="0"/>
        <v>-1.072405405326129E-4</v>
      </c>
      <c r="E40" s="53"/>
    </row>
    <row r="41" spans="1:7" ht="15.75" customHeight="1" x14ac:dyDescent="0.3">
      <c r="C41" s="94">
        <v>998.3</v>
      </c>
      <c r="D41" s="87">
        <f t="shared" si="0"/>
        <v>5.4422068700072149E-4</v>
      </c>
      <c r="E41" s="53"/>
    </row>
    <row r="42" spans="1:7" ht="15.75" customHeight="1" x14ac:dyDescent="0.3">
      <c r="C42" s="94">
        <v>991.72</v>
      </c>
      <c r="D42" s="87">
        <f t="shared" si="0"/>
        <v>-6.0505714317214982E-3</v>
      </c>
      <c r="E42" s="53"/>
    </row>
    <row r="43" spans="1:7" ht="16.5" customHeight="1" x14ac:dyDescent="0.3">
      <c r="C43" s="95">
        <v>998.93</v>
      </c>
      <c r="D43" s="88">
        <f t="shared" si="0"/>
        <v>1.1756369536868939E-3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19955.140000000003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997.75700000000018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275">
        <f>C46</f>
        <v>997.75700000000018</v>
      </c>
      <c r="C49" s="92">
        <f>-IF(C46&lt;=80,10%,IF(C46&lt;250,7.5%,5%))</f>
        <v>-0.05</v>
      </c>
      <c r="D49" s="80">
        <f>IF(C46&lt;=80,C46*0.9,IF(C46&lt;250,C46*0.925,C46*0.95))</f>
        <v>947.8691500000001</v>
      </c>
    </row>
    <row r="50" spans="1:6" ht="17.25" customHeight="1" x14ac:dyDescent="0.3">
      <c r="B50" s="276"/>
      <c r="C50" s="93">
        <f>IF(C46&lt;=80, 10%, IF(C46&lt;250, 7.5%, 5%))</f>
        <v>0.05</v>
      </c>
      <c r="D50" s="80">
        <f>IF(C46&lt;=80, C46*1.1, IF(C46&lt;250, C46*1.075, C46*1.05))</f>
        <v>1047.6448500000001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69" t="s">
        <v>120</v>
      </c>
      <c r="C53" s="71"/>
      <c r="D53" s="268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2" zoomScale="60" zoomScaleNormal="40" zoomScalePageLayoutView="50" workbookViewId="0">
      <selection activeCell="G105" sqref="G105"/>
    </sheetView>
  </sheetViews>
  <sheetFormatPr defaultColWidth="9.140625" defaultRowHeight="13.5" x14ac:dyDescent="0.25"/>
  <cols>
    <col min="1" max="1" width="55.42578125" style="205" customWidth="1"/>
    <col min="2" max="2" width="33.7109375" style="205" customWidth="1"/>
    <col min="3" max="3" width="42.28515625" style="205" customWidth="1"/>
    <col min="4" max="4" width="30.5703125" style="205" customWidth="1"/>
    <col min="5" max="5" width="39.85546875" style="205" customWidth="1"/>
    <col min="6" max="6" width="30.7109375" style="205" customWidth="1"/>
    <col min="7" max="7" width="39.85546875" style="205" customWidth="1"/>
    <col min="8" max="8" width="30" style="205" customWidth="1"/>
    <col min="9" max="9" width="30.28515625" style="205" hidden="1" customWidth="1"/>
    <col min="10" max="10" width="30.42578125" style="205" customWidth="1"/>
    <col min="11" max="11" width="21.28515625" style="205" customWidth="1"/>
    <col min="12" max="12" width="9.140625" style="205"/>
    <col min="13" max="16384" width="9.140625" style="44"/>
  </cols>
  <sheetData>
    <row r="1" spans="1:9" ht="18.75" customHeight="1" x14ac:dyDescent="0.25">
      <c r="A1" s="286" t="s">
        <v>40</v>
      </c>
      <c r="B1" s="286"/>
      <c r="C1" s="286"/>
      <c r="D1" s="286"/>
      <c r="E1" s="286"/>
      <c r="F1" s="286"/>
      <c r="G1" s="286"/>
      <c r="H1" s="286"/>
      <c r="I1" s="286"/>
    </row>
    <row r="2" spans="1:9" ht="18.75" customHeight="1" x14ac:dyDescent="0.25">
      <c r="A2" s="286"/>
      <c r="B2" s="286"/>
      <c r="C2" s="286"/>
      <c r="D2" s="286"/>
      <c r="E2" s="286"/>
      <c r="F2" s="286"/>
      <c r="G2" s="286"/>
      <c r="H2" s="286"/>
      <c r="I2" s="286"/>
    </row>
    <row r="3" spans="1:9" ht="18.75" customHeight="1" x14ac:dyDescent="0.25">
      <c r="A3" s="286"/>
      <c r="B3" s="286"/>
      <c r="C3" s="286"/>
      <c r="D3" s="286"/>
      <c r="E3" s="286"/>
      <c r="F3" s="286"/>
      <c r="G3" s="286"/>
      <c r="H3" s="286"/>
      <c r="I3" s="286"/>
    </row>
    <row r="4" spans="1:9" ht="18.75" customHeight="1" x14ac:dyDescent="0.25">
      <c r="A4" s="286"/>
      <c r="B4" s="286"/>
      <c r="C4" s="286"/>
      <c r="D4" s="286"/>
      <c r="E4" s="286"/>
      <c r="F4" s="286"/>
      <c r="G4" s="286"/>
      <c r="H4" s="286"/>
      <c r="I4" s="286"/>
    </row>
    <row r="5" spans="1:9" ht="18.75" customHeight="1" x14ac:dyDescent="0.25">
      <c r="A5" s="286"/>
      <c r="B5" s="286"/>
      <c r="C5" s="286"/>
      <c r="D5" s="286"/>
      <c r="E5" s="286"/>
      <c r="F5" s="286"/>
      <c r="G5" s="286"/>
      <c r="H5" s="286"/>
      <c r="I5" s="286"/>
    </row>
    <row r="6" spans="1:9" ht="18.75" customHeight="1" x14ac:dyDescent="0.25">
      <c r="A6" s="286"/>
      <c r="B6" s="286"/>
      <c r="C6" s="286"/>
      <c r="D6" s="286"/>
      <c r="E6" s="286"/>
      <c r="F6" s="286"/>
      <c r="G6" s="286"/>
      <c r="H6" s="286"/>
      <c r="I6" s="286"/>
    </row>
    <row r="7" spans="1:9" ht="18.75" customHeight="1" x14ac:dyDescent="0.25">
      <c r="A7" s="286"/>
      <c r="B7" s="286"/>
      <c r="C7" s="286"/>
      <c r="D7" s="286"/>
      <c r="E7" s="286"/>
      <c r="F7" s="286"/>
      <c r="G7" s="286"/>
      <c r="H7" s="286"/>
      <c r="I7" s="286"/>
    </row>
    <row r="8" spans="1:9" x14ac:dyDescent="0.25">
      <c r="A8" s="287" t="s">
        <v>41</v>
      </c>
      <c r="B8" s="287"/>
      <c r="C8" s="287"/>
      <c r="D8" s="287"/>
      <c r="E8" s="287"/>
      <c r="F8" s="287"/>
      <c r="G8" s="287"/>
      <c r="H8" s="287"/>
      <c r="I8" s="287"/>
    </row>
    <row r="9" spans="1:9" x14ac:dyDescent="0.25">
      <c r="A9" s="287"/>
      <c r="B9" s="287"/>
      <c r="C9" s="287"/>
      <c r="D9" s="287"/>
      <c r="E9" s="287"/>
      <c r="F9" s="287"/>
      <c r="G9" s="287"/>
      <c r="H9" s="287"/>
      <c r="I9" s="287"/>
    </row>
    <row r="10" spans="1:9" x14ac:dyDescent="0.25">
      <c r="A10" s="287"/>
      <c r="B10" s="287"/>
      <c r="C10" s="287"/>
      <c r="D10" s="287"/>
      <c r="E10" s="287"/>
      <c r="F10" s="287"/>
      <c r="G10" s="287"/>
      <c r="H10" s="287"/>
      <c r="I10" s="287"/>
    </row>
    <row r="11" spans="1:9" x14ac:dyDescent="0.25">
      <c r="A11" s="287"/>
      <c r="B11" s="287"/>
      <c r="C11" s="287"/>
      <c r="D11" s="287"/>
      <c r="E11" s="287"/>
      <c r="F11" s="287"/>
      <c r="G11" s="287"/>
      <c r="H11" s="287"/>
      <c r="I11" s="287"/>
    </row>
    <row r="12" spans="1:9" x14ac:dyDescent="0.25">
      <c r="A12" s="287"/>
      <c r="B12" s="287"/>
      <c r="C12" s="287"/>
      <c r="D12" s="287"/>
      <c r="E12" s="287"/>
      <c r="F12" s="287"/>
      <c r="G12" s="287"/>
      <c r="H12" s="287"/>
      <c r="I12" s="287"/>
    </row>
    <row r="13" spans="1:9" x14ac:dyDescent="0.25">
      <c r="A13" s="287"/>
      <c r="B13" s="287"/>
      <c r="C13" s="287"/>
      <c r="D13" s="287"/>
      <c r="E13" s="287"/>
      <c r="F13" s="287"/>
      <c r="G13" s="287"/>
      <c r="H13" s="287"/>
      <c r="I13" s="287"/>
    </row>
    <row r="14" spans="1:9" x14ac:dyDescent="0.25">
      <c r="A14" s="287"/>
      <c r="B14" s="287"/>
      <c r="C14" s="287"/>
      <c r="D14" s="287"/>
      <c r="E14" s="287"/>
      <c r="F14" s="287"/>
      <c r="G14" s="287"/>
      <c r="H14" s="287"/>
      <c r="I14" s="287"/>
    </row>
    <row r="15" spans="1:9" ht="19.5" customHeight="1" thickBot="1" x14ac:dyDescent="0.35">
      <c r="A15" s="188"/>
    </row>
    <row r="16" spans="1:9" ht="19.5" customHeight="1" thickBot="1" x14ac:dyDescent="0.35">
      <c r="A16" s="288" t="s">
        <v>26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42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97" t="s">
        <v>28</v>
      </c>
      <c r="B18" s="292" t="s">
        <v>121</v>
      </c>
      <c r="C18" s="292"/>
      <c r="D18" s="244"/>
      <c r="E18" s="98"/>
      <c r="F18" s="99"/>
      <c r="G18" s="99"/>
      <c r="H18" s="99"/>
    </row>
    <row r="19" spans="1:14" ht="26.25" customHeight="1" x14ac:dyDescent="0.4">
      <c r="A19" s="97" t="s">
        <v>29</v>
      </c>
      <c r="B19" s="265" t="str">
        <f>Uniformity!C15</f>
        <v>NDQD201508225</v>
      </c>
      <c r="C19" s="246">
        <v>21</v>
      </c>
      <c r="D19" s="99"/>
      <c r="E19" s="99"/>
      <c r="F19" s="99"/>
      <c r="G19" s="99"/>
      <c r="H19" s="99"/>
    </row>
    <row r="20" spans="1:14" ht="26.25" customHeight="1" x14ac:dyDescent="0.4">
      <c r="A20" s="97" t="s">
        <v>30</v>
      </c>
      <c r="B20" s="293" t="s">
        <v>124</v>
      </c>
      <c r="C20" s="293"/>
      <c r="D20" s="99"/>
      <c r="E20" s="99"/>
      <c r="F20" s="99"/>
      <c r="G20" s="99"/>
      <c r="H20" s="99"/>
    </row>
    <row r="21" spans="1:14" ht="26.25" customHeight="1" x14ac:dyDescent="0.4">
      <c r="A21" s="97" t="s">
        <v>31</v>
      </c>
      <c r="B21" s="293" t="str">
        <f>Uniformity!C17</f>
        <v>Each suppository contains Artesunate 50mg</v>
      </c>
      <c r="C21" s="293"/>
      <c r="D21" s="293"/>
      <c r="E21" s="293"/>
      <c r="F21" s="293"/>
      <c r="G21" s="293"/>
      <c r="H21" s="293"/>
      <c r="I21" s="100"/>
    </row>
    <row r="22" spans="1:14" ht="26.25" customHeight="1" x14ac:dyDescent="0.4">
      <c r="A22" s="97" t="s">
        <v>32</v>
      </c>
      <c r="B22" s="101">
        <f>Uniformity!C18</f>
        <v>42312</v>
      </c>
      <c r="C22" s="99"/>
      <c r="D22" s="99"/>
      <c r="E22" s="99"/>
      <c r="F22" s="99"/>
      <c r="G22" s="99"/>
      <c r="H22" s="99"/>
    </row>
    <row r="23" spans="1:14" ht="26.25" customHeight="1" x14ac:dyDescent="0.4">
      <c r="A23" s="97" t="s">
        <v>33</v>
      </c>
      <c r="B23" s="101">
        <f>Uniformity!C19</f>
        <v>42338</v>
      </c>
      <c r="C23" s="99"/>
      <c r="D23" s="99"/>
      <c r="E23" s="99"/>
      <c r="F23" s="99"/>
      <c r="G23" s="99"/>
      <c r="H23" s="99"/>
    </row>
    <row r="24" spans="1:14" ht="18.75" x14ac:dyDescent="0.3">
      <c r="A24" s="97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239" t="s">
        <v>4</v>
      </c>
      <c r="B26" s="292" t="s">
        <v>124</v>
      </c>
      <c r="C26" s="292"/>
    </row>
    <row r="27" spans="1:14" ht="26.25" customHeight="1" x14ac:dyDescent="0.4">
      <c r="A27" s="194" t="s">
        <v>43</v>
      </c>
      <c r="B27" s="294" t="s">
        <v>125</v>
      </c>
      <c r="C27" s="294"/>
    </row>
    <row r="28" spans="1:14" ht="27" customHeight="1" thickBot="1" x14ac:dyDescent="0.45">
      <c r="A28" s="194" t="s">
        <v>5</v>
      </c>
      <c r="B28" s="190">
        <v>99.3</v>
      </c>
    </row>
    <row r="29" spans="1:14" s="16" customFormat="1" ht="27" customHeight="1" thickBot="1" x14ac:dyDescent="0.45">
      <c r="A29" s="194" t="s">
        <v>44</v>
      </c>
      <c r="B29" s="104">
        <v>0</v>
      </c>
      <c r="C29" s="295" t="s">
        <v>45</v>
      </c>
      <c r="D29" s="296"/>
      <c r="E29" s="296"/>
      <c r="F29" s="296"/>
      <c r="G29" s="297"/>
      <c r="I29" s="105"/>
      <c r="J29" s="105"/>
      <c r="K29" s="105"/>
      <c r="L29" s="105"/>
    </row>
    <row r="30" spans="1:14" s="16" customFormat="1" ht="19.5" customHeight="1" thickBot="1" x14ac:dyDescent="0.45">
      <c r="A30" s="194" t="s">
        <v>46</v>
      </c>
      <c r="B30" s="272">
        <f>B28-B29</f>
        <v>99.3</v>
      </c>
      <c r="C30" s="106"/>
      <c r="D30" s="106"/>
      <c r="E30" s="106"/>
      <c r="F30" s="106"/>
      <c r="G30" s="107"/>
      <c r="I30" s="105"/>
      <c r="J30" s="105"/>
      <c r="K30" s="105"/>
      <c r="L30" s="105"/>
    </row>
    <row r="31" spans="1:14" s="16" customFormat="1" ht="27" customHeight="1" thickBot="1" x14ac:dyDescent="0.45">
      <c r="A31" s="194" t="s">
        <v>47</v>
      </c>
      <c r="B31" s="108">
        <v>1</v>
      </c>
      <c r="C31" s="283" t="s">
        <v>48</v>
      </c>
      <c r="D31" s="284"/>
      <c r="E31" s="284"/>
      <c r="F31" s="284"/>
      <c r="G31" s="284"/>
      <c r="H31" s="285"/>
      <c r="I31" s="105"/>
      <c r="J31" s="105"/>
      <c r="K31" s="105"/>
      <c r="L31" s="105"/>
    </row>
    <row r="32" spans="1:14" s="16" customFormat="1" ht="27" customHeight="1" thickBot="1" x14ac:dyDescent="0.45">
      <c r="A32" s="194" t="s">
        <v>49</v>
      </c>
      <c r="B32" s="108">
        <v>1</v>
      </c>
      <c r="C32" s="283" t="s">
        <v>50</v>
      </c>
      <c r="D32" s="284"/>
      <c r="E32" s="284"/>
      <c r="F32" s="284"/>
      <c r="G32" s="284"/>
      <c r="H32" s="285"/>
      <c r="I32" s="105"/>
      <c r="J32" s="105"/>
      <c r="K32" s="105"/>
      <c r="L32" s="109"/>
      <c r="M32" s="109"/>
      <c r="N32" s="110"/>
    </row>
    <row r="33" spans="1:14" s="16" customFormat="1" ht="17.25" customHeight="1" x14ac:dyDescent="0.3">
      <c r="A33" s="194"/>
      <c r="B33" s="111"/>
      <c r="C33" s="112"/>
      <c r="D33" s="112"/>
      <c r="E33" s="112"/>
      <c r="F33" s="112"/>
      <c r="G33" s="112"/>
      <c r="H33" s="112"/>
      <c r="I33" s="105"/>
      <c r="J33" s="105"/>
      <c r="K33" s="105"/>
      <c r="L33" s="109"/>
      <c r="M33" s="109"/>
      <c r="N33" s="110"/>
    </row>
    <row r="34" spans="1:14" s="16" customFormat="1" ht="18.75" x14ac:dyDescent="0.3">
      <c r="A34" s="194" t="s">
        <v>51</v>
      </c>
      <c r="B34" s="113">
        <f>B31/B32</f>
        <v>1</v>
      </c>
      <c r="C34" s="188" t="s">
        <v>52</v>
      </c>
      <c r="D34" s="188"/>
      <c r="E34" s="188"/>
      <c r="F34" s="188"/>
      <c r="G34" s="188"/>
      <c r="I34" s="105"/>
      <c r="J34" s="105"/>
      <c r="K34" s="105"/>
      <c r="L34" s="109"/>
      <c r="M34" s="109"/>
      <c r="N34" s="110"/>
    </row>
    <row r="35" spans="1:14" s="16" customFormat="1" ht="19.5" customHeight="1" thickBot="1" x14ac:dyDescent="0.35">
      <c r="A35" s="194"/>
      <c r="B35" s="261"/>
      <c r="G35" s="188"/>
      <c r="I35" s="105"/>
      <c r="J35" s="105"/>
      <c r="K35" s="105"/>
      <c r="L35" s="109"/>
      <c r="M35" s="109"/>
      <c r="N35" s="110"/>
    </row>
    <row r="36" spans="1:14" s="16" customFormat="1" ht="27" customHeight="1" thickBot="1" x14ac:dyDescent="0.45">
      <c r="A36" s="114" t="s">
        <v>53</v>
      </c>
      <c r="B36" s="115">
        <v>5</v>
      </c>
      <c r="C36" s="188"/>
      <c r="D36" s="298" t="s">
        <v>54</v>
      </c>
      <c r="E36" s="299"/>
      <c r="F36" s="298" t="s">
        <v>55</v>
      </c>
      <c r="G36" s="300"/>
      <c r="J36" s="105"/>
      <c r="K36" s="105"/>
      <c r="L36" s="109"/>
      <c r="M36" s="109"/>
      <c r="N36" s="110"/>
    </row>
    <row r="37" spans="1:14" s="16" customFormat="1" ht="27" customHeight="1" thickBot="1" x14ac:dyDescent="0.45">
      <c r="A37" s="116" t="s">
        <v>56</v>
      </c>
      <c r="B37" s="117">
        <v>1</v>
      </c>
      <c r="C37" s="118" t="s">
        <v>57</v>
      </c>
      <c r="D37" s="119" t="s">
        <v>58</v>
      </c>
      <c r="E37" s="120" t="s">
        <v>59</v>
      </c>
      <c r="F37" s="119" t="s">
        <v>58</v>
      </c>
      <c r="G37" s="121" t="s">
        <v>59</v>
      </c>
      <c r="I37" s="122" t="s">
        <v>60</v>
      </c>
      <c r="J37" s="105"/>
      <c r="K37" s="105"/>
      <c r="L37" s="109"/>
      <c r="M37" s="109"/>
      <c r="N37" s="110"/>
    </row>
    <row r="38" spans="1:14" s="16" customFormat="1" ht="26.25" customHeight="1" x14ac:dyDescent="0.4">
      <c r="A38" s="116" t="s">
        <v>61</v>
      </c>
      <c r="B38" s="117">
        <v>1</v>
      </c>
      <c r="C38" s="123">
        <v>1</v>
      </c>
      <c r="D38" s="117">
        <v>3826679</v>
      </c>
      <c r="E38" s="125">
        <f>IF(ISBLANK(D38),"-",$D$48/$D$45*D38)</f>
        <v>2957524.6216995562</v>
      </c>
      <c r="F38" s="124">
        <v>3891441</v>
      </c>
      <c r="G38" s="126">
        <f>IF(ISBLANK(F38),"-",$D$48/$F$45*F38)</f>
        <v>2948738.2330944152</v>
      </c>
      <c r="I38" s="127"/>
      <c r="J38" s="105"/>
      <c r="K38" s="105"/>
      <c r="L38" s="109"/>
      <c r="M38" s="109"/>
      <c r="N38" s="110"/>
    </row>
    <row r="39" spans="1:14" s="16" customFormat="1" ht="26.25" customHeight="1" x14ac:dyDescent="0.4">
      <c r="A39" s="116" t="s">
        <v>62</v>
      </c>
      <c r="B39" s="117">
        <v>1</v>
      </c>
      <c r="C39" s="145">
        <v>2</v>
      </c>
      <c r="D39" s="117">
        <v>3815976</v>
      </c>
      <c r="E39" s="129">
        <f>IF(ISBLANK(D39),"-",$D$48/$D$45*D39)</f>
        <v>2949252.5962628657</v>
      </c>
      <c r="F39" s="128">
        <v>3900601</v>
      </c>
      <c r="G39" s="130">
        <f>IF(ISBLANK(F39),"-",$D$48/$F$45*F39)</f>
        <v>2955679.2203058735</v>
      </c>
      <c r="I39" s="301">
        <f>ABS((F43/D43*D42)-F42)/D42</f>
        <v>3.0764199952663589E-3</v>
      </c>
      <c r="J39" s="105"/>
      <c r="K39" s="105"/>
      <c r="L39" s="109"/>
      <c r="M39" s="109"/>
      <c r="N39" s="110"/>
    </row>
    <row r="40" spans="1:14" ht="26.25" customHeight="1" x14ac:dyDescent="0.4">
      <c r="A40" s="116" t="s">
        <v>63</v>
      </c>
      <c r="B40" s="117">
        <v>1</v>
      </c>
      <c r="C40" s="145">
        <v>3</v>
      </c>
      <c r="D40" s="117">
        <v>3841903</v>
      </c>
      <c r="E40" s="129">
        <f>IF(ISBLANK(D40),"-",$D$48/$D$45*D40)</f>
        <v>2969290.7914882307</v>
      </c>
      <c r="F40" s="128">
        <v>3886347</v>
      </c>
      <c r="G40" s="130">
        <f>IF(ISBLANK(F40),"-",$D$48/$F$45*F40)</f>
        <v>2944878.2561451611</v>
      </c>
      <c r="I40" s="301"/>
      <c r="L40" s="109"/>
      <c r="M40" s="109"/>
      <c r="N40" s="188"/>
    </row>
    <row r="41" spans="1:14" ht="27" customHeight="1" thickBot="1" x14ac:dyDescent="0.45">
      <c r="A41" s="116" t="s">
        <v>64</v>
      </c>
      <c r="B41" s="117">
        <v>1</v>
      </c>
      <c r="C41" s="131">
        <v>4</v>
      </c>
      <c r="D41" s="132"/>
      <c r="E41" s="133" t="str">
        <f>IF(ISBLANK(D41),"-",$D$48/$D$45*D41)</f>
        <v>-</v>
      </c>
      <c r="F41" s="132"/>
      <c r="G41" s="134" t="str">
        <f>IF(ISBLANK(F41),"-",$D$48/$F$45*F41)</f>
        <v>-</v>
      </c>
      <c r="I41" s="135"/>
      <c r="L41" s="109"/>
      <c r="M41" s="109"/>
      <c r="N41" s="188"/>
    </row>
    <row r="42" spans="1:14" ht="27" customHeight="1" thickBot="1" x14ac:dyDescent="0.45">
      <c r="A42" s="116" t="s">
        <v>65</v>
      </c>
      <c r="B42" s="117">
        <v>1</v>
      </c>
      <c r="C42" s="136" t="s">
        <v>66</v>
      </c>
      <c r="D42" s="137">
        <f>AVERAGE(D38:D41)</f>
        <v>3828186</v>
      </c>
      <c r="E42" s="138">
        <f>AVERAGE(E38:E41)</f>
        <v>2958689.3364835507</v>
      </c>
      <c r="F42" s="137">
        <f>AVERAGE(F38:F41)</f>
        <v>3892796.3333333335</v>
      </c>
      <c r="G42" s="139">
        <f>AVERAGE(G38:G41)</f>
        <v>2949765.2365151499</v>
      </c>
      <c r="H42" s="140"/>
    </row>
    <row r="43" spans="1:14" ht="26.25" customHeight="1" x14ac:dyDescent="0.4">
      <c r="A43" s="116" t="s">
        <v>67</v>
      </c>
      <c r="B43" s="117">
        <v>1</v>
      </c>
      <c r="C43" s="141" t="s">
        <v>68</v>
      </c>
      <c r="D43" s="142">
        <v>26.06</v>
      </c>
      <c r="E43" s="188"/>
      <c r="F43" s="142">
        <v>26.58</v>
      </c>
      <c r="H43" s="140"/>
    </row>
    <row r="44" spans="1:14" ht="26.25" customHeight="1" x14ac:dyDescent="0.4">
      <c r="A44" s="116" t="s">
        <v>69</v>
      </c>
      <c r="B44" s="117">
        <v>1</v>
      </c>
      <c r="C44" s="143" t="s">
        <v>70</v>
      </c>
      <c r="D44" s="144">
        <f>D43*$B$34</f>
        <v>26.06</v>
      </c>
      <c r="E44" s="202"/>
      <c r="F44" s="144">
        <f>F43*$B$34</f>
        <v>26.58</v>
      </c>
      <c r="H44" s="140"/>
    </row>
    <row r="45" spans="1:14" ht="19.5" customHeight="1" thickBot="1" x14ac:dyDescent="0.35">
      <c r="A45" s="116" t="s">
        <v>71</v>
      </c>
      <c r="B45" s="145">
        <f>(B44/B43)*(B42/B41)*(B40/B39)*(B38/B37)*B36</f>
        <v>5</v>
      </c>
      <c r="C45" s="143" t="s">
        <v>72</v>
      </c>
      <c r="D45" s="146">
        <f>D44*$B$30/100</f>
        <v>25.877579999999998</v>
      </c>
      <c r="E45" s="185"/>
      <c r="F45" s="146">
        <f>F44*$B$30/100</f>
        <v>26.393939999999997</v>
      </c>
      <c r="H45" s="140"/>
    </row>
    <row r="46" spans="1:14" ht="19.5" customHeight="1" thickBot="1" x14ac:dyDescent="0.35">
      <c r="A46" s="302" t="s">
        <v>73</v>
      </c>
      <c r="B46" s="303"/>
      <c r="C46" s="143" t="s">
        <v>74</v>
      </c>
      <c r="D46" s="147">
        <f>D45/$B$45</f>
        <v>5.175516</v>
      </c>
      <c r="E46" s="148"/>
      <c r="F46" s="149">
        <f>F45/$B$45</f>
        <v>5.2787879999999996</v>
      </c>
      <c r="H46" s="140"/>
    </row>
    <row r="47" spans="1:14" ht="27" customHeight="1" thickBot="1" x14ac:dyDescent="0.45">
      <c r="A47" s="304"/>
      <c r="B47" s="305"/>
      <c r="C47" s="150" t="s">
        <v>75</v>
      </c>
      <c r="D47" s="151">
        <v>4</v>
      </c>
      <c r="E47" s="152"/>
      <c r="F47" s="148"/>
      <c r="H47" s="140"/>
    </row>
    <row r="48" spans="1:14" ht="18.75" x14ac:dyDescent="0.3">
      <c r="C48" s="153" t="s">
        <v>76</v>
      </c>
      <c r="D48" s="146">
        <f>D47*$B$45</f>
        <v>20</v>
      </c>
      <c r="F48" s="154"/>
      <c r="H48" s="140"/>
    </row>
    <row r="49" spans="1:12" ht="19.5" customHeight="1" thickBot="1" x14ac:dyDescent="0.35">
      <c r="C49" s="155" t="s">
        <v>77</v>
      </c>
      <c r="D49" s="156">
        <f>D48/B34</f>
        <v>20</v>
      </c>
      <c r="F49" s="154"/>
      <c r="H49" s="140"/>
    </row>
    <row r="50" spans="1:12" ht="18.75" x14ac:dyDescent="0.3">
      <c r="C50" s="114" t="s">
        <v>78</v>
      </c>
      <c r="D50" s="157">
        <f>AVERAGE(E38:E41,G38:G41)</f>
        <v>2954227.2864993499</v>
      </c>
      <c r="F50" s="158"/>
      <c r="H50" s="140"/>
    </row>
    <row r="51" spans="1:12" ht="18.75" x14ac:dyDescent="0.3">
      <c r="C51" s="116" t="s">
        <v>79</v>
      </c>
      <c r="D51" s="159">
        <f>STDEV(E38:E41,G38:G41)/D50</f>
        <v>2.9593759901607552E-3</v>
      </c>
      <c r="F51" s="158"/>
      <c r="H51" s="140"/>
    </row>
    <row r="52" spans="1:12" ht="19.5" customHeight="1" thickBot="1" x14ac:dyDescent="0.35">
      <c r="C52" s="160" t="s">
        <v>15</v>
      </c>
      <c r="D52" s="161">
        <f>COUNT(E38:E41,G38:G41)</f>
        <v>6</v>
      </c>
      <c r="F52" s="158"/>
    </row>
    <row r="54" spans="1:12" ht="18.75" x14ac:dyDescent="0.3">
      <c r="A54" s="162" t="s">
        <v>1</v>
      </c>
      <c r="B54" s="163" t="s">
        <v>80</v>
      </c>
    </row>
    <row r="55" spans="1:12" ht="18.75" x14ac:dyDescent="0.3">
      <c r="A55" s="188" t="s">
        <v>81</v>
      </c>
      <c r="B55" s="164" t="str">
        <f>B21</f>
        <v>Each suppository contains Artesunate 50mg</v>
      </c>
    </row>
    <row r="56" spans="1:12" ht="26.25" customHeight="1" x14ac:dyDescent="0.4">
      <c r="A56" s="164" t="s">
        <v>82</v>
      </c>
      <c r="B56" s="165">
        <v>50</v>
      </c>
      <c r="C56" s="188" t="str">
        <f>B20</f>
        <v>Artesunate</v>
      </c>
      <c r="H56" s="202"/>
    </row>
    <row r="57" spans="1:12" ht="18.75" x14ac:dyDescent="0.3">
      <c r="A57" s="164" t="s">
        <v>83</v>
      </c>
      <c r="B57" s="245">
        <f>Uniformity!C46</f>
        <v>997.75700000000018</v>
      </c>
      <c r="H57" s="202"/>
    </row>
    <row r="58" spans="1:12" ht="19.5" customHeight="1" thickBot="1" x14ac:dyDescent="0.35">
      <c r="H58" s="202"/>
    </row>
    <row r="59" spans="1:12" s="16" customFormat="1" ht="27" customHeight="1" thickBot="1" x14ac:dyDescent="0.45">
      <c r="A59" s="114" t="s">
        <v>84</v>
      </c>
      <c r="B59" s="115">
        <v>10</v>
      </c>
      <c r="C59" s="188"/>
      <c r="D59" s="166" t="s">
        <v>85</v>
      </c>
      <c r="E59" s="167" t="s">
        <v>57</v>
      </c>
      <c r="F59" s="167" t="s">
        <v>58</v>
      </c>
      <c r="G59" s="167" t="s">
        <v>86</v>
      </c>
      <c r="H59" s="118" t="s">
        <v>87</v>
      </c>
      <c r="L59" s="105"/>
    </row>
    <row r="60" spans="1:12" s="16" customFormat="1" ht="26.25" customHeight="1" x14ac:dyDescent="0.4">
      <c r="A60" s="116" t="s">
        <v>88</v>
      </c>
      <c r="B60" s="117">
        <v>1</v>
      </c>
      <c r="C60" s="306" t="s">
        <v>89</v>
      </c>
      <c r="D60" s="309">
        <v>990.04</v>
      </c>
      <c r="E60" s="168">
        <v>1</v>
      </c>
      <c r="F60" s="169">
        <v>3501616</v>
      </c>
      <c r="G60" s="247">
        <f>IF(ISBLANK(F60),"-",(F60/$D$50*$D$47*$B$68)*($B$57/$D$60))</f>
        <v>47.781155271527489</v>
      </c>
      <c r="H60" s="170">
        <f>IF(ISBLANK(F60),"-",G60/$B$56)</f>
        <v>0.95562310543054974</v>
      </c>
      <c r="L60" s="105"/>
    </row>
    <row r="61" spans="1:12" s="16" customFormat="1" ht="26.25" customHeight="1" x14ac:dyDescent="0.4">
      <c r="A61" s="116" t="s">
        <v>90</v>
      </c>
      <c r="B61" s="117">
        <v>1</v>
      </c>
      <c r="C61" s="307"/>
      <c r="D61" s="310"/>
      <c r="E61" s="171">
        <v>2</v>
      </c>
      <c r="F61" s="128">
        <v>3509380</v>
      </c>
      <c r="G61" s="248">
        <f>IF(ISBLANK(F61),"-",(F61/$D$50*$D$47*$B$68)*($B$57/$D$60))</f>
        <v>47.887098610125484</v>
      </c>
      <c r="H61" s="172">
        <f t="shared" ref="H61:H71" si="0">IF(ISBLANK(F61),"-",G61/$B$56)</f>
        <v>0.95774197220250967</v>
      </c>
      <c r="L61" s="105"/>
    </row>
    <row r="62" spans="1:12" s="16" customFormat="1" ht="26.25" customHeight="1" x14ac:dyDescent="0.4">
      <c r="A62" s="116" t="s">
        <v>91</v>
      </c>
      <c r="B62" s="117">
        <v>1</v>
      </c>
      <c r="C62" s="307"/>
      <c r="D62" s="310"/>
      <c r="E62" s="171">
        <v>3</v>
      </c>
      <c r="F62" s="173">
        <v>3501632</v>
      </c>
      <c r="G62" s="248">
        <f>IF(ISBLANK(F62),"-",(F62/$D$50*$D$47*$B$68)*($B$57/$D$60))</f>
        <v>47.781373598861023</v>
      </c>
      <c r="H62" s="172">
        <f t="shared" si="0"/>
        <v>0.95562747197722042</v>
      </c>
      <c r="L62" s="105"/>
    </row>
    <row r="63" spans="1:12" ht="27" customHeight="1" thickBot="1" x14ac:dyDescent="0.45">
      <c r="A63" s="116" t="s">
        <v>92</v>
      </c>
      <c r="B63" s="117">
        <v>1</v>
      </c>
      <c r="C63" s="308"/>
      <c r="D63" s="311"/>
      <c r="E63" s="174">
        <v>4</v>
      </c>
      <c r="F63" s="175"/>
      <c r="G63" s="248" t="str">
        <f>IF(ISBLANK(F63),"-",(F63/$D$50*$D$47*$B$68)*($B$57/$D$60))</f>
        <v>-</v>
      </c>
      <c r="H63" s="172" t="str">
        <f t="shared" si="0"/>
        <v>-</v>
      </c>
    </row>
    <row r="64" spans="1:12" ht="26.25" customHeight="1" x14ac:dyDescent="0.4">
      <c r="A64" s="116" t="s">
        <v>93</v>
      </c>
      <c r="B64" s="117">
        <v>1</v>
      </c>
      <c r="C64" s="306" t="s">
        <v>94</v>
      </c>
      <c r="D64" s="309">
        <v>989.77</v>
      </c>
      <c r="E64" s="168">
        <v>1</v>
      </c>
      <c r="F64" s="169">
        <v>3543241</v>
      </c>
      <c r="G64" s="249">
        <f>IF(ISBLANK(F64),"-",(F64/$D$50*$D$47*$B$68)*($B$57/$D$64))</f>
        <v>48.362336670463918</v>
      </c>
      <c r="H64" s="176">
        <f>IF(ISBLANK(F64),"-",G64/$B$56)</f>
        <v>0.96724673340927836</v>
      </c>
    </row>
    <row r="65" spans="1:8" ht="26.25" customHeight="1" x14ac:dyDescent="0.4">
      <c r="A65" s="116" t="s">
        <v>95</v>
      </c>
      <c r="B65" s="117">
        <v>1</v>
      </c>
      <c r="C65" s="307"/>
      <c r="D65" s="310"/>
      <c r="E65" s="171">
        <v>2</v>
      </c>
      <c r="F65" s="128">
        <v>3526587</v>
      </c>
      <c r="G65" s="250">
        <f>IF(ISBLANK(F65),"-",(F65/$D$50*$D$47*$B$68)*($B$57/$D$64))</f>
        <v>48.135023215096382</v>
      </c>
      <c r="H65" s="177">
        <f t="shared" si="0"/>
        <v>0.96270046430192768</v>
      </c>
    </row>
    <row r="66" spans="1:8" ht="26.25" customHeight="1" x14ac:dyDescent="0.4">
      <c r="A66" s="116" t="s">
        <v>96</v>
      </c>
      <c r="B66" s="117">
        <v>1</v>
      </c>
      <c r="C66" s="307"/>
      <c r="D66" s="310"/>
      <c r="E66" s="171">
        <v>3</v>
      </c>
      <c r="F66" s="128">
        <v>3544523</v>
      </c>
      <c r="G66" s="250">
        <f>IF(ISBLANK(F66),"-",(F66/$D$50*$D$47*$B$68)*($B$57/$D$64))</f>
        <v>48.379834920120523</v>
      </c>
      <c r="H66" s="177">
        <f t="shared" si="0"/>
        <v>0.96759669840241047</v>
      </c>
    </row>
    <row r="67" spans="1:8" ht="27" customHeight="1" thickBot="1" x14ac:dyDescent="0.45">
      <c r="A67" s="116" t="s">
        <v>97</v>
      </c>
      <c r="B67" s="117">
        <v>1</v>
      </c>
      <c r="C67" s="308"/>
      <c r="D67" s="311"/>
      <c r="E67" s="174">
        <v>4</v>
      </c>
      <c r="F67" s="175"/>
      <c r="G67" s="251" t="str">
        <f>IF(ISBLANK(F67),"-",(F67/$D$50*$D$47*$B$68)*($B$57/$D$64))</f>
        <v>-</v>
      </c>
      <c r="H67" s="178" t="str">
        <f t="shared" si="0"/>
        <v>-</v>
      </c>
    </row>
    <row r="68" spans="1:8" ht="26.25" customHeight="1" x14ac:dyDescent="0.4">
      <c r="A68" s="116" t="s">
        <v>98</v>
      </c>
      <c r="B68" s="179">
        <f>(B67/B66)*(B65/B64)*(B63/B62)*(B61/B60)*B59</f>
        <v>10</v>
      </c>
      <c r="C68" s="306" t="s">
        <v>99</v>
      </c>
      <c r="D68" s="309">
        <v>994.3</v>
      </c>
      <c r="E68" s="168">
        <v>1</v>
      </c>
      <c r="F68" s="169">
        <v>3613412</v>
      </c>
      <c r="G68" s="249">
        <f>IF(ISBLANK(F68),"-",(F68/$D$50*$D$47*$B$68)*($B$57/$D$68))</f>
        <v>49.095412420759729</v>
      </c>
      <c r="H68" s="172">
        <f>IF(ISBLANK(F68),"-",G68/$B$56)</f>
        <v>0.98190824841519453</v>
      </c>
    </row>
    <row r="69" spans="1:8" ht="27" customHeight="1" thickBot="1" x14ac:dyDescent="0.45">
      <c r="A69" s="160" t="s">
        <v>100</v>
      </c>
      <c r="B69" s="180">
        <f>(D47*B68)/B56*B57</f>
        <v>798.20560000000023</v>
      </c>
      <c r="C69" s="307"/>
      <c r="D69" s="310"/>
      <c r="E69" s="171">
        <v>2</v>
      </c>
      <c r="F69" s="128">
        <v>3616162</v>
      </c>
      <c r="G69" s="250">
        <f>IF(ISBLANK(F69),"-",(F69/$D$50*$D$47*$B$68)*($B$57/$D$68))</f>
        <v>49.132776658260767</v>
      </c>
      <c r="H69" s="172">
        <f t="shared" si="0"/>
        <v>0.98265553316521537</v>
      </c>
    </row>
    <row r="70" spans="1:8" ht="26.25" customHeight="1" x14ac:dyDescent="0.4">
      <c r="A70" s="313" t="s">
        <v>73</v>
      </c>
      <c r="B70" s="314"/>
      <c r="C70" s="307"/>
      <c r="D70" s="310"/>
      <c r="E70" s="171">
        <v>3</v>
      </c>
      <c r="F70" s="128">
        <v>3633127</v>
      </c>
      <c r="G70" s="250">
        <f>IF(ISBLANK(F70),"-",(F70/$D$50*$D$47*$B$68)*($B$57/$D$68))</f>
        <v>49.363280036153519</v>
      </c>
      <c r="H70" s="172">
        <f t="shared" si="0"/>
        <v>0.98726560072307035</v>
      </c>
    </row>
    <row r="71" spans="1:8" ht="27" customHeight="1" thickBot="1" x14ac:dyDescent="0.45">
      <c r="A71" s="315"/>
      <c r="B71" s="316"/>
      <c r="C71" s="312"/>
      <c r="D71" s="311"/>
      <c r="E71" s="174">
        <v>4</v>
      </c>
      <c r="F71" s="175"/>
      <c r="G71" s="251" t="str">
        <f>IF(ISBLANK(F71),"-",(F71/$D$50*$D$47*$B$68)*($B$57/$D$68))</f>
        <v>-</v>
      </c>
      <c r="H71" s="181" t="str">
        <f t="shared" si="0"/>
        <v>-</v>
      </c>
    </row>
    <row r="72" spans="1:8" ht="26.25" customHeight="1" x14ac:dyDescent="0.4">
      <c r="A72" s="202"/>
      <c r="B72" s="202"/>
      <c r="C72" s="202"/>
      <c r="D72" s="202"/>
      <c r="E72" s="202"/>
      <c r="F72" s="202"/>
      <c r="G72" s="182" t="s">
        <v>66</v>
      </c>
      <c r="H72" s="183">
        <f>AVERAGE(H60:H71)</f>
        <v>0.96870731422526413</v>
      </c>
    </row>
    <row r="73" spans="1:8" ht="26.25" customHeight="1" x14ac:dyDescent="0.4">
      <c r="C73" s="202"/>
      <c r="D73" s="202"/>
      <c r="E73" s="202"/>
      <c r="F73" s="202"/>
      <c r="G73" s="184" t="s">
        <v>79</v>
      </c>
      <c r="H73" s="252">
        <f>STDEV(H60:H71)/H72</f>
        <v>1.2722874290719098E-2</v>
      </c>
    </row>
    <row r="74" spans="1:8" ht="27" customHeight="1" thickBot="1" x14ac:dyDescent="0.45">
      <c r="A74" s="202"/>
      <c r="B74" s="202"/>
      <c r="C74" s="202"/>
      <c r="D74" s="202"/>
      <c r="E74" s="185"/>
      <c r="F74" s="202"/>
      <c r="G74" s="186" t="s">
        <v>15</v>
      </c>
      <c r="H74" s="187">
        <f>COUNT(H60:H71)</f>
        <v>9</v>
      </c>
    </row>
    <row r="76" spans="1:8" ht="26.25" customHeight="1" x14ac:dyDescent="0.4">
      <c r="A76" s="239" t="s">
        <v>101</v>
      </c>
      <c r="B76" s="194" t="s">
        <v>102</v>
      </c>
      <c r="C76" s="317" t="str">
        <f>B20</f>
        <v>Artesunate</v>
      </c>
      <c r="D76" s="317"/>
      <c r="E76" s="188" t="s">
        <v>103</v>
      </c>
      <c r="F76" s="188"/>
      <c r="G76" s="189">
        <f>H72</f>
        <v>0.96870731422526413</v>
      </c>
      <c r="H76" s="261"/>
    </row>
    <row r="77" spans="1:8" ht="18.75" x14ac:dyDescent="0.3">
      <c r="A77" s="103" t="s">
        <v>104</v>
      </c>
      <c r="B77" s="103" t="s">
        <v>105</v>
      </c>
    </row>
    <row r="78" spans="1:8" ht="18.75" x14ac:dyDescent="0.3">
      <c r="A78" s="103"/>
      <c r="B78" s="103"/>
    </row>
    <row r="79" spans="1:8" ht="26.25" customHeight="1" x14ac:dyDescent="0.4">
      <c r="A79" s="239" t="s">
        <v>4</v>
      </c>
      <c r="B79" s="294"/>
      <c r="C79" s="294"/>
    </row>
    <row r="80" spans="1:8" ht="26.25" customHeight="1" x14ac:dyDescent="0.4">
      <c r="A80" s="194" t="s">
        <v>43</v>
      </c>
      <c r="B80" s="294"/>
      <c r="C80" s="294"/>
    </row>
    <row r="81" spans="1:12" ht="27" customHeight="1" thickBot="1" x14ac:dyDescent="0.45">
      <c r="A81" s="194" t="s">
        <v>5</v>
      </c>
      <c r="B81" s="190"/>
    </row>
    <row r="82" spans="1:12" s="16" customFormat="1" ht="27" customHeight="1" thickBot="1" x14ac:dyDescent="0.45">
      <c r="A82" s="194" t="s">
        <v>44</v>
      </c>
      <c r="B82" s="104"/>
      <c r="C82" s="295" t="s">
        <v>45</v>
      </c>
      <c r="D82" s="296"/>
      <c r="E82" s="296"/>
      <c r="F82" s="296"/>
      <c r="G82" s="297"/>
      <c r="I82" s="105"/>
      <c r="J82" s="105"/>
      <c r="K82" s="105"/>
      <c r="L82" s="105"/>
    </row>
    <row r="83" spans="1:12" s="16" customFormat="1" ht="19.5" customHeight="1" thickBot="1" x14ac:dyDescent="0.35">
      <c r="A83" s="194" t="s">
        <v>46</v>
      </c>
      <c r="B83" s="261"/>
      <c r="C83" s="106"/>
      <c r="D83" s="106"/>
      <c r="E83" s="106"/>
      <c r="F83" s="106"/>
      <c r="G83" s="107"/>
      <c r="I83" s="105"/>
      <c r="J83" s="105"/>
      <c r="K83" s="105"/>
      <c r="L83" s="105"/>
    </row>
    <row r="84" spans="1:12" s="16" customFormat="1" ht="27" customHeight="1" thickBot="1" x14ac:dyDescent="0.45">
      <c r="A84" s="194" t="s">
        <v>47</v>
      </c>
      <c r="B84" s="108"/>
      <c r="C84" s="283" t="s">
        <v>106</v>
      </c>
      <c r="D84" s="284"/>
      <c r="E84" s="284"/>
      <c r="F84" s="284"/>
      <c r="G84" s="284"/>
      <c r="H84" s="285"/>
      <c r="I84" s="105"/>
      <c r="J84" s="105"/>
      <c r="K84" s="105"/>
      <c r="L84" s="105"/>
    </row>
    <row r="85" spans="1:12" s="16" customFormat="1" ht="27" customHeight="1" thickBot="1" x14ac:dyDescent="0.45">
      <c r="A85" s="194" t="s">
        <v>49</v>
      </c>
      <c r="B85" s="108"/>
      <c r="C85" s="283" t="s">
        <v>107</v>
      </c>
      <c r="D85" s="284"/>
      <c r="E85" s="284"/>
      <c r="F85" s="284"/>
      <c r="G85" s="284"/>
      <c r="H85" s="285"/>
      <c r="I85" s="105"/>
      <c r="J85" s="105"/>
      <c r="K85" s="105"/>
      <c r="L85" s="105"/>
    </row>
    <row r="86" spans="1:12" s="16" customFormat="1" ht="18.75" x14ac:dyDescent="0.3">
      <c r="A86" s="194"/>
      <c r="B86" s="111"/>
      <c r="C86" s="112"/>
      <c r="D86" s="112"/>
      <c r="E86" s="112"/>
      <c r="F86" s="112"/>
      <c r="G86" s="112"/>
      <c r="H86" s="112"/>
      <c r="I86" s="105"/>
      <c r="J86" s="105"/>
      <c r="K86" s="105"/>
      <c r="L86" s="105"/>
    </row>
    <row r="87" spans="1:12" s="16" customFormat="1" ht="18.75" x14ac:dyDescent="0.3">
      <c r="A87" s="194" t="s">
        <v>51</v>
      </c>
      <c r="B87" s="113" t="e">
        <f>B84/B85</f>
        <v>#DIV/0!</v>
      </c>
      <c r="C87" s="188" t="s">
        <v>52</v>
      </c>
      <c r="D87" s="188"/>
      <c r="E87" s="188"/>
      <c r="F87" s="188"/>
      <c r="G87" s="188"/>
      <c r="I87" s="105"/>
      <c r="J87" s="105"/>
      <c r="K87" s="105"/>
      <c r="L87" s="105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4" t="s">
        <v>53</v>
      </c>
      <c r="B89" s="115">
        <v>1</v>
      </c>
      <c r="D89" s="263" t="s">
        <v>54</v>
      </c>
      <c r="E89" s="266"/>
      <c r="F89" s="298" t="s">
        <v>55</v>
      </c>
      <c r="G89" s="300"/>
    </row>
    <row r="90" spans="1:12" ht="27" customHeight="1" thickBot="1" x14ac:dyDescent="0.45">
      <c r="A90" s="116" t="s">
        <v>56</v>
      </c>
      <c r="B90" s="117">
        <v>1</v>
      </c>
      <c r="C90" s="262" t="s">
        <v>57</v>
      </c>
      <c r="D90" s="119" t="s">
        <v>58</v>
      </c>
      <c r="E90" s="120" t="s">
        <v>59</v>
      </c>
      <c r="F90" s="119" t="s">
        <v>58</v>
      </c>
      <c r="G90" s="191" t="s">
        <v>59</v>
      </c>
      <c r="I90" s="122" t="s">
        <v>60</v>
      </c>
    </row>
    <row r="91" spans="1:12" ht="26.25" customHeight="1" x14ac:dyDescent="0.4">
      <c r="A91" s="116" t="s">
        <v>61</v>
      </c>
      <c r="B91" s="117">
        <v>1</v>
      </c>
      <c r="C91" s="192">
        <v>1</v>
      </c>
      <c r="D91" s="257"/>
      <c r="E91" s="125" t="str">
        <f>IF(ISBLANK(D91),"-",$D$101/$D$98*D91)</f>
        <v>-</v>
      </c>
      <c r="F91" s="257"/>
      <c r="G91" s="126" t="str">
        <f>IF(ISBLANK(F91),"-",$D$101/$F$98*F91)</f>
        <v>-</v>
      </c>
      <c r="I91" s="127"/>
    </row>
    <row r="92" spans="1:12" ht="26.25" customHeight="1" x14ac:dyDescent="0.4">
      <c r="A92" s="116" t="s">
        <v>62</v>
      </c>
      <c r="B92" s="117">
        <v>1</v>
      </c>
      <c r="C92" s="202">
        <v>2</v>
      </c>
      <c r="D92" s="258"/>
      <c r="E92" s="129" t="str">
        <f>IF(ISBLANK(D92),"-",$D$101/$D$98*D92)</f>
        <v>-</v>
      </c>
      <c r="F92" s="258"/>
      <c r="G92" s="130" t="str">
        <f>IF(ISBLANK(F92),"-",$D$101/$F$98*F92)</f>
        <v>-</v>
      </c>
      <c r="I92" s="301" t="e">
        <f>ABS((F96/D96*D95)-F95)/D95</f>
        <v>#DIV/0!</v>
      </c>
    </row>
    <row r="93" spans="1:12" ht="26.25" customHeight="1" x14ac:dyDescent="0.4">
      <c r="A93" s="116" t="s">
        <v>63</v>
      </c>
      <c r="B93" s="117">
        <v>1</v>
      </c>
      <c r="C93" s="202">
        <v>3</v>
      </c>
      <c r="D93" s="258"/>
      <c r="E93" s="129" t="str">
        <f>IF(ISBLANK(D93),"-",$D$101/$D$98*D93)</f>
        <v>-</v>
      </c>
      <c r="F93" s="258"/>
      <c r="G93" s="130" t="str">
        <f>IF(ISBLANK(F93),"-",$D$101/$F$98*F93)</f>
        <v>-</v>
      </c>
      <c r="I93" s="301"/>
    </row>
    <row r="94" spans="1:12" ht="27" customHeight="1" thickBot="1" x14ac:dyDescent="0.45">
      <c r="A94" s="116" t="s">
        <v>64</v>
      </c>
      <c r="B94" s="117">
        <v>1</v>
      </c>
      <c r="C94" s="193">
        <v>4</v>
      </c>
      <c r="D94" s="259"/>
      <c r="E94" s="133" t="str">
        <f>IF(ISBLANK(D94),"-",$D$101/$D$98*D94)</f>
        <v>-</v>
      </c>
      <c r="F94" s="260"/>
      <c r="G94" s="134"/>
      <c r="I94" s="135"/>
    </row>
    <row r="95" spans="1:12" ht="27" customHeight="1" thickBot="1" x14ac:dyDescent="0.45">
      <c r="A95" s="116" t="s">
        <v>65</v>
      </c>
      <c r="B95" s="117">
        <v>1</v>
      </c>
      <c r="C95" s="194" t="s">
        <v>66</v>
      </c>
      <c r="D95" s="195" t="e">
        <f>AVERAGE(D91:D94)</f>
        <v>#DIV/0!</v>
      </c>
      <c r="E95" s="138" t="e">
        <f>AVERAGE(E91:E94)</f>
        <v>#DIV/0!</v>
      </c>
      <c r="F95" s="196" t="e">
        <f>AVERAGE(F91:F94)</f>
        <v>#DIV/0!</v>
      </c>
      <c r="G95" s="197" t="e">
        <f>AVERAGE(G91:G94)</f>
        <v>#DIV/0!</v>
      </c>
    </row>
    <row r="96" spans="1:12" ht="26.25" customHeight="1" x14ac:dyDescent="0.4">
      <c r="A96" s="116" t="s">
        <v>67</v>
      </c>
      <c r="B96" s="190">
        <v>1</v>
      </c>
      <c r="C96" s="198" t="s">
        <v>108</v>
      </c>
      <c r="D96" s="199"/>
      <c r="E96" s="188"/>
      <c r="F96" s="142"/>
    </row>
    <row r="97" spans="1:10" ht="26.25" customHeight="1" x14ac:dyDescent="0.4">
      <c r="A97" s="116" t="s">
        <v>69</v>
      </c>
      <c r="B97" s="190">
        <v>1</v>
      </c>
      <c r="C97" s="200" t="s">
        <v>109</v>
      </c>
      <c r="D97" s="201" t="e">
        <f>D96*$B$87</f>
        <v>#DIV/0!</v>
      </c>
      <c r="E97" s="202"/>
      <c r="F97" s="144" t="e">
        <f>F96*$B$87</f>
        <v>#DIV/0!</v>
      </c>
    </row>
    <row r="98" spans="1:10" ht="19.5" customHeight="1" thickBot="1" x14ac:dyDescent="0.35">
      <c r="A98" s="116" t="s">
        <v>71</v>
      </c>
      <c r="B98" s="202">
        <f>(B97/B96)*(B95/B94)*(B93/B92)*(B91/B90)*B89</f>
        <v>1</v>
      </c>
      <c r="C98" s="200" t="s">
        <v>110</v>
      </c>
      <c r="D98" s="203" t="e">
        <f>D97*$B$83/100</f>
        <v>#DIV/0!</v>
      </c>
      <c r="E98" s="185"/>
      <c r="F98" s="146" t="e">
        <f>F97*$B$83/100</f>
        <v>#DIV/0!</v>
      </c>
    </row>
    <row r="99" spans="1:10" ht="19.5" customHeight="1" thickBot="1" x14ac:dyDescent="0.35">
      <c r="A99" s="302" t="s">
        <v>73</v>
      </c>
      <c r="B99" s="318"/>
      <c r="C99" s="200" t="s">
        <v>111</v>
      </c>
      <c r="D99" s="204" t="e">
        <f>D98/$B$98</f>
        <v>#DIV/0!</v>
      </c>
      <c r="E99" s="185"/>
      <c r="F99" s="149" t="e">
        <f>F98/$B$98</f>
        <v>#DIV/0!</v>
      </c>
      <c r="H99" s="140"/>
    </row>
    <row r="100" spans="1:10" ht="19.5" customHeight="1" thickBot="1" x14ac:dyDescent="0.35">
      <c r="A100" s="304"/>
      <c r="B100" s="319"/>
      <c r="C100" s="200" t="s">
        <v>75</v>
      </c>
      <c r="D100" s="206" t="e">
        <f>$B$56/$B$116</f>
        <v>#DIV/0!</v>
      </c>
      <c r="F100" s="154"/>
      <c r="G100" s="212"/>
      <c r="H100" s="140"/>
    </row>
    <row r="101" spans="1:10" ht="18.75" x14ac:dyDescent="0.3">
      <c r="C101" s="200" t="s">
        <v>76</v>
      </c>
      <c r="D101" s="201" t="e">
        <f>D100*$B$98</f>
        <v>#DIV/0!</v>
      </c>
      <c r="F101" s="154"/>
      <c r="H101" s="140"/>
    </row>
    <row r="102" spans="1:10" ht="19.5" customHeight="1" thickBot="1" x14ac:dyDescent="0.35">
      <c r="C102" s="207" t="s">
        <v>77</v>
      </c>
      <c r="D102" s="208" t="e">
        <f>D101/B34</f>
        <v>#DIV/0!</v>
      </c>
      <c r="F102" s="158"/>
      <c r="H102" s="140"/>
      <c r="J102" s="209"/>
    </row>
    <row r="103" spans="1:10" ht="18.75" x14ac:dyDescent="0.3">
      <c r="C103" s="210" t="s">
        <v>112</v>
      </c>
      <c r="D103" s="211" t="e">
        <f>AVERAGE(E91:E94,G91:G94)</f>
        <v>#DIV/0!</v>
      </c>
      <c r="F103" s="158"/>
      <c r="G103" s="212"/>
      <c r="H103" s="140"/>
      <c r="J103" s="213"/>
    </row>
    <row r="104" spans="1:10" ht="18.75" x14ac:dyDescent="0.3">
      <c r="C104" s="184" t="s">
        <v>79</v>
      </c>
      <c r="D104" s="214" t="e">
        <f>STDEV(E91:E94,G91:G94)/D103</f>
        <v>#DIV/0!</v>
      </c>
      <c r="F104" s="158"/>
      <c r="H104" s="140"/>
      <c r="J104" s="213"/>
    </row>
    <row r="105" spans="1:10" ht="19.5" customHeight="1" thickBot="1" x14ac:dyDescent="0.35">
      <c r="C105" s="186" t="s">
        <v>15</v>
      </c>
      <c r="D105" s="215">
        <f>COUNT(E91:E94,G91:G94)</f>
        <v>0</v>
      </c>
      <c r="F105" s="158"/>
      <c r="H105" s="140"/>
      <c r="J105" s="213"/>
    </row>
    <row r="106" spans="1:10" ht="19.5" customHeight="1" thickBot="1" x14ac:dyDescent="0.35">
      <c r="A106" s="162"/>
      <c r="B106" s="162"/>
      <c r="C106" s="162"/>
      <c r="D106" s="162"/>
      <c r="E106" s="162"/>
    </row>
    <row r="107" spans="1:10" ht="26.25" customHeight="1" x14ac:dyDescent="0.4">
      <c r="A107" s="114" t="s">
        <v>113</v>
      </c>
      <c r="B107" s="115"/>
      <c r="C107" s="263" t="s">
        <v>114</v>
      </c>
      <c r="D107" s="216" t="s">
        <v>58</v>
      </c>
      <c r="E107" s="217" t="s">
        <v>115</v>
      </c>
      <c r="F107" s="218" t="s">
        <v>116</v>
      </c>
    </row>
    <row r="108" spans="1:10" ht="26.25" customHeight="1" x14ac:dyDescent="0.4">
      <c r="A108" s="116" t="s">
        <v>117</v>
      </c>
      <c r="B108" s="117"/>
      <c r="C108" s="219">
        <v>1</v>
      </c>
      <c r="D108" s="220"/>
      <c r="E108" s="253" t="str">
        <f t="shared" ref="E108:E113" si="1">IF(ISBLANK(D108),"-",D108/$D$103*$D$100*$B$116)</f>
        <v>-</v>
      </c>
      <c r="F108" s="221" t="str">
        <f>IF(ISBLANK(D108), "-", E108/$B$56)</f>
        <v>-</v>
      </c>
    </row>
    <row r="109" spans="1:10" ht="26.25" customHeight="1" x14ac:dyDescent="0.4">
      <c r="A109" s="116" t="s">
        <v>90</v>
      </c>
      <c r="B109" s="117"/>
      <c r="C109" s="219">
        <v>2</v>
      </c>
      <c r="D109" s="220"/>
      <c r="E109" s="254" t="str">
        <f t="shared" si="1"/>
        <v>-</v>
      </c>
      <c r="F109" s="222" t="str">
        <f t="shared" ref="F109:F113" si="2">IF(ISBLANK(D109), "-", E109/$B$56)</f>
        <v>-</v>
      </c>
    </row>
    <row r="110" spans="1:10" ht="26.25" customHeight="1" x14ac:dyDescent="0.4">
      <c r="A110" s="116" t="s">
        <v>91</v>
      </c>
      <c r="B110" s="117"/>
      <c r="C110" s="219">
        <v>3</v>
      </c>
      <c r="D110" s="220"/>
      <c r="E110" s="254" t="str">
        <f t="shared" si="1"/>
        <v>-</v>
      </c>
      <c r="F110" s="222" t="str">
        <f>IF(ISBLANK(D110), "-", E110/$B$56)</f>
        <v>-</v>
      </c>
    </row>
    <row r="111" spans="1:10" ht="26.25" customHeight="1" x14ac:dyDescent="0.4">
      <c r="A111" s="116" t="s">
        <v>92</v>
      </c>
      <c r="B111" s="117"/>
      <c r="C111" s="219">
        <v>4</v>
      </c>
      <c r="D111" s="220"/>
      <c r="E111" s="254" t="str">
        <f t="shared" si="1"/>
        <v>-</v>
      </c>
      <c r="F111" s="222" t="str">
        <f t="shared" si="2"/>
        <v>-</v>
      </c>
    </row>
    <row r="112" spans="1:10" ht="26.25" customHeight="1" x14ac:dyDescent="0.4">
      <c r="A112" s="116" t="s">
        <v>93</v>
      </c>
      <c r="B112" s="117"/>
      <c r="C112" s="219">
        <v>5</v>
      </c>
      <c r="D112" s="220"/>
      <c r="E112" s="254" t="str">
        <f t="shared" si="1"/>
        <v>-</v>
      </c>
      <c r="F112" s="222" t="str">
        <f>IF(ISBLANK(D112), "-", E112/$B$56)</f>
        <v>-</v>
      </c>
    </row>
    <row r="113" spans="1:10" ht="26.25" customHeight="1" x14ac:dyDescent="0.4">
      <c r="A113" s="116" t="s">
        <v>95</v>
      </c>
      <c r="B113" s="117"/>
      <c r="C113" s="223">
        <v>6</v>
      </c>
      <c r="D113" s="224"/>
      <c r="E113" s="255" t="str">
        <f t="shared" si="1"/>
        <v>-</v>
      </c>
      <c r="F113" s="225" t="str">
        <f t="shared" si="2"/>
        <v>-</v>
      </c>
    </row>
    <row r="114" spans="1:10" ht="26.25" customHeight="1" x14ac:dyDescent="0.4">
      <c r="A114" s="116" t="s">
        <v>96</v>
      </c>
      <c r="B114" s="117"/>
      <c r="C114" s="219"/>
      <c r="D114" s="202"/>
      <c r="E114" s="188"/>
      <c r="F114" s="226"/>
    </row>
    <row r="115" spans="1:10" ht="26.25" customHeight="1" x14ac:dyDescent="0.4">
      <c r="A115" s="116" t="s">
        <v>97</v>
      </c>
      <c r="B115" s="117"/>
      <c r="C115" s="219"/>
      <c r="D115" s="227"/>
      <c r="E115" s="228" t="s">
        <v>66</v>
      </c>
      <c r="F115" s="229" t="e">
        <f>AVERAGE(F108:F113)</f>
        <v>#DIV/0!</v>
      </c>
    </row>
    <row r="116" spans="1:10" ht="27" customHeight="1" thickBot="1" x14ac:dyDescent="0.45">
      <c r="A116" s="116" t="s">
        <v>98</v>
      </c>
      <c r="B116" s="145"/>
      <c r="C116" s="230"/>
      <c r="D116" s="231"/>
      <c r="E116" s="194" t="s">
        <v>79</v>
      </c>
      <c r="F116" s="232" t="e">
        <f>STDEV(F108:F113)/F115</f>
        <v>#DIV/0!</v>
      </c>
      <c r="I116" s="188"/>
    </row>
    <row r="117" spans="1:10" ht="27" customHeight="1" thickBot="1" x14ac:dyDescent="0.45">
      <c r="A117" s="302" t="s">
        <v>73</v>
      </c>
      <c r="B117" s="303"/>
      <c r="C117" s="233"/>
      <c r="D117" s="234"/>
      <c r="E117" s="235" t="s">
        <v>15</v>
      </c>
      <c r="F117" s="236">
        <f>COUNT(F108:F113)</f>
        <v>0</v>
      </c>
      <c r="I117" s="188"/>
      <c r="J117" s="213"/>
    </row>
    <row r="118" spans="1:10" ht="19.5" customHeight="1" thickBot="1" x14ac:dyDescent="0.35">
      <c r="A118" s="304"/>
      <c r="B118" s="305"/>
      <c r="C118" s="188"/>
      <c r="D118" s="188"/>
      <c r="E118" s="188"/>
      <c r="F118" s="202"/>
      <c r="G118" s="188"/>
      <c r="H118" s="188"/>
      <c r="I118" s="188"/>
    </row>
    <row r="119" spans="1:10" ht="18.75" x14ac:dyDescent="0.3">
      <c r="A119" s="243"/>
      <c r="B119" s="112"/>
      <c r="C119" s="188"/>
      <c r="D119" s="188"/>
      <c r="E119" s="188"/>
      <c r="F119" s="202"/>
      <c r="G119" s="188"/>
      <c r="H119" s="188"/>
      <c r="I119" s="188"/>
    </row>
    <row r="120" spans="1:10" ht="26.25" customHeight="1" x14ac:dyDescent="0.4">
      <c r="A120" s="239" t="s">
        <v>101</v>
      </c>
      <c r="B120" s="194" t="s">
        <v>118</v>
      </c>
      <c r="C120" s="317" t="str">
        <f>B20</f>
        <v>Artesunate</v>
      </c>
      <c r="D120" s="317"/>
      <c r="E120" s="188" t="s">
        <v>119</v>
      </c>
      <c r="F120" s="188"/>
      <c r="G120" s="189" t="e">
        <f>F115</f>
        <v>#DIV/0!</v>
      </c>
      <c r="H120" s="188"/>
      <c r="I120" s="188"/>
    </row>
    <row r="121" spans="1:10" ht="19.5" customHeight="1" thickBot="1" x14ac:dyDescent="0.35">
      <c r="A121" s="264"/>
      <c r="B121" s="264"/>
      <c r="C121" s="237"/>
      <c r="D121" s="237"/>
      <c r="E121" s="237"/>
      <c r="F121" s="237"/>
      <c r="G121" s="237"/>
      <c r="H121" s="237"/>
    </row>
    <row r="122" spans="1:10" ht="18.75" x14ac:dyDescent="0.3">
      <c r="B122" s="320" t="s">
        <v>21</v>
      </c>
      <c r="C122" s="320"/>
      <c r="E122" s="262" t="s">
        <v>22</v>
      </c>
      <c r="F122" s="238"/>
      <c r="G122" s="320" t="s">
        <v>23</v>
      </c>
      <c r="H122" s="320"/>
    </row>
    <row r="123" spans="1:10" ht="69.95" customHeight="1" x14ac:dyDescent="0.3">
      <c r="A123" s="239" t="s">
        <v>24</v>
      </c>
      <c r="B123" s="193" t="s">
        <v>120</v>
      </c>
      <c r="C123" s="240"/>
      <c r="E123" s="271">
        <v>42339</v>
      </c>
      <c r="F123" s="188"/>
      <c r="G123" s="240"/>
      <c r="H123" s="240"/>
    </row>
    <row r="124" spans="1:10" ht="69.95" customHeight="1" x14ac:dyDescent="0.3">
      <c r="A124" s="239" t="s">
        <v>25</v>
      </c>
      <c r="B124" s="241"/>
      <c r="C124" s="241"/>
      <c r="E124" s="241"/>
      <c r="F124" s="188"/>
      <c r="G124" s="242"/>
      <c r="H124" s="242"/>
    </row>
    <row r="125" spans="1:10" ht="18.75" x14ac:dyDescent="0.3">
      <c r="A125" s="202"/>
      <c r="B125" s="202"/>
      <c r="C125" s="202"/>
      <c r="D125" s="202"/>
      <c r="E125" s="202"/>
      <c r="F125" s="185"/>
      <c r="G125" s="202"/>
      <c r="H125" s="202"/>
      <c r="I125" s="188"/>
    </row>
    <row r="126" spans="1:10" ht="18.75" x14ac:dyDescent="0.3">
      <c r="A126" s="202"/>
      <c r="B126" s="202"/>
      <c r="C126" s="202"/>
      <c r="D126" s="202"/>
      <c r="E126" s="202"/>
      <c r="F126" s="185"/>
      <c r="G126" s="202"/>
      <c r="H126" s="202"/>
      <c r="I126" s="188"/>
    </row>
    <row r="127" spans="1:10" ht="18.75" x14ac:dyDescent="0.3">
      <c r="A127" s="202"/>
      <c r="B127" s="202"/>
      <c r="C127" s="202"/>
      <c r="D127" s="202"/>
      <c r="E127" s="202"/>
      <c r="F127" s="185"/>
      <c r="G127" s="202"/>
      <c r="H127" s="202"/>
      <c r="I127" s="188"/>
    </row>
    <row r="128" spans="1:10" ht="18.75" x14ac:dyDescent="0.3">
      <c r="A128" s="202"/>
      <c r="B128" s="202"/>
      <c r="C128" s="202"/>
      <c r="D128" s="202"/>
      <c r="E128" s="202"/>
      <c r="F128" s="185"/>
      <c r="G128" s="202"/>
      <c r="H128" s="202"/>
      <c r="I128" s="188"/>
    </row>
    <row r="129" spans="1:9" ht="18.75" x14ac:dyDescent="0.3">
      <c r="A129" s="202"/>
      <c r="B129" s="202"/>
      <c r="C129" s="202"/>
      <c r="D129" s="202"/>
      <c r="E129" s="202"/>
      <c r="F129" s="185"/>
      <c r="G129" s="202"/>
      <c r="H129" s="202"/>
      <c r="I129" s="188"/>
    </row>
    <row r="130" spans="1:9" ht="18.75" x14ac:dyDescent="0.3">
      <c r="A130" s="202"/>
      <c r="B130" s="202"/>
      <c r="C130" s="202"/>
      <c r="D130" s="202"/>
      <c r="E130" s="202"/>
      <c r="F130" s="185"/>
      <c r="G130" s="202"/>
      <c r="H130" s="202"/>
      <c r="I130" s="188"/>
    </row>
    <row r="131" spans="1:9" ht="18.75" x14ac:dyDescent="0.3">
      <c r="A131" s="202"/>
      <c r="B131" s="202"/>
      <c r="C131" s="202"/>
      <c r="D131" s="202"/>
      <c r="E131" s="202"/>
      <c r="F131" s="185"/>
      <c r="G131" s="202"/>
      <c r="H131" s="202"/>
      <c r="I131" s="188"/>
    </row>
    <row r="132" spans="1:9" ht="18.75" x14ac:dyDescent="0.3">
      <c r="A132" s="202"/>
      <c r="B132" s="202"/>
      <c r="C132" s="202"/>
      <c r="D132" s="202"/>
      <c r="E132" s="202"/>
      <c r="F132" s="185"/>
      <c r="G132" s="202"/>
      <c r="H132" s="202"/>
      <c r="I132" s="188"/>
    </row>
    <row r="133" spans="1:9" ht="18.75" x14ac:dyDescent="0.3">
      <c r="A133" s="202"/>
      <c r="B133" s="202"/>
      <c r="C133" s="202"/>
      <c r="D133" s="202"/>
      <c r="E133" s="202"/>
      <c r="F133" s="185"/>
      <c r="G133" s="202"/>
      <c r="H133" s="202"/>
      <c r="I133" s="188"/>
    </row>
    <row r="250" spans="1:1" x14ac:dyDescent="0.25">
      <c r="A250" s="20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 (A)</vt:lpstr>
      <vt:lpstr>Uniformity</vt:lpstr>
      <vt:lpstr>Artesunate</vt:lpstr>
      <vt:lpstr>Artesunate!Print_Area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MichaelBugigiSangale</cp:lastModifiedBy>
  <cp:lastPrinted>2015-10-21T09:39:21Z</cp:lastPrinted>
  <dcterms:created xsi:type="dcterms:W3CDTF">2005-07-05T10:19:27Z</dcterms:created>
  <dcterms:modified xsi:type="dcterms:W3CDTF">2015-12-03T12:02:02Z</dcterms:modified>
</cp:coreProperties>
</file>