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CIPROFLOXACIN" sheetId="3" r:id="rId3"/>
    <sheet name="Sheet1" sheetId="4" r:id="rId4"/>
  </sheets>
  <definedNames>
    <definedName name="_xlnm.Print_Area" localSheetId="1">Uniformity!$A$1:$K$60</definedName>
  </definedNames>
  <calcPr calcId="144525"/>
</workbook>
</file>

<file path=xl/calcChain.xml><?xml version="1.0" encoding="utf-8"?>
<calcChain xmlns="http://schemas.openxmlformats.org/spreadsheetml/2006/main">
  <c r="B116" i="3" l="1"/>
  <c r="G120" i="3"/>
  <c r="F113" i="3"/>
  <c r="F111" i="3"/>
  <c r="F109" i="3"/>
  <c r="J19" i="4"/>
  <c r="B21" i="1"/>
  <c r="B20" i="1"/>
  <c r="B19" i="1"/>
  <c r="B18" i="1"/>
  <c r="C19" i="2"/>
  <c r="C18" i="2"/>
  <c r="B82" i="3"/>
  <c r="D100" i="3"/>
  <c r="D101" i="3" s="1"/>
  <c r="B98" i="3"/>
  <c r="B30" i="3"/>
  <c r="B69" i="3"/>
  <c r="B45" i="3"/>
  <c r="C120" i="3"/>
  <c r="D97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D48" i="3"/>
  <c r="F42" i="3"/>
  <c r="D42" i="3"/>
  <c r="B34" i="3"/>
  <c r="D44" i="3" s="1"/>
  <c r="D49" i="2"/>
  <c r="C46" i="2"/>
  <c r="D50" i="2" s="1"/>
  <c r="C45" i="2"/>
  <c r="D40" i="2"/>
  <c r="D36" i="2"/>
  <c r="D33" i="2"/>
  <c r="D32" i="2"/>
  <c r="D28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I39" i="3"/>
  <c r="D98" i="3"/>
  <c r="D99" i="3" s="1"/>
  <c r="D45" i="3"/>
  <c r="D102" i="3"/>
  <c r="E93" i="3"/>
  <c r="D49" i="3"/>
  <c r="F98" i="3"/>
  <c r="F99" i="3" s="1"/>
  <c r="D25" i="2"/>
  <c r="D29" i="2"/>
  <c r="D37" i="2"/>
  <c r="D41" i="2"/>
  <c r="C50" i="2"/>
  <c r="D27" i="2"/>
  <c r="D31" i="2"/>
  <c r="D35" i="2"/>
  <c r="D39" i="2"/>
  <c r="D43" i="2"/>
  <c r="C49" i="2"/>
  <c r="F44" i="3"/>
  <c r="F45" i="3" s="1"/>
  <c r="G38" i="3" s="1"/>
  <c r="D26" i="2"/>
  <c r="D30" i="2"/>
  <c r="D34" i="2"/>
  <c r="D38" i="2"/>
  <c r="D42" i="2"/>
  <c r="B49" i="2"/>
  <c r="G91" i="3" l="1"/>
  <c r="E91" i="3"/>
  <c r="E95" i="3" s="1"/>
  <c r="E92" i="3"/>
  <c r="E38" i="3"/>
  <c r="F46" i="3"/>
  <c r="D46" i="3"/>
  <c r="E40" i="3"/>
  <c r="E39" i="3"/>
  <c r="G39" i="3"/>
  <c r="G92" i="3"/>
  <c r="G93" i="3"/>
  <c r="G40" i="3"/>
  <c r="E42" i="3" l="1"/>
  <c r="D50" i="3"/>
  <c r="G68" i="3" s="1"/>
  <c r="H68" i="3" s="1"/>
  <c r="G95" i="3"/>
  <c r="D103" i="3"/>
  <c r="G42" i="3"/>
  <c r="D51" i="3"/>
  <c r="D52" i="3"/>
  <c r="D105" i="3"/>
  <c r="E108" i="3" l="1"/>
  <c r="F108" i="3" s="1"/>
  <c r="E109" i="3"/>
  <c r="E113" i="3"/>
  <c r="G62" i="3"/>
  <c r="H62" i="3" s="1"/>
  <c r="G69" i="3"/>
  <c r="H69" i="3" s="1"/>
  <c r="G67" i="3"/>
  <c r="H67" i="3" s="1"/>
  <c r="G60" i="3"/>
  <c r="H60" i="3" s="1"/>
  <c r="G64" i="3"/>
  <c r="H64" i="3" s="1"/>
  <c r="G65" i="3"/>
  <c r="H65" i="3" s="1"/>
  <c r="G66" i="3"/>
  <c r="H66" i="3" s="1"/>
  <c r="G61" i="3"/>
  <c r="H61" i="3" s="1"/>
  <c r="G70" i="3"/>
  <c r="H70" i="3" s="1"/>
  <c r="G71" i="3"/>
  <c r="H71" i="3" s="1"/>
  <c r="D104" i="3"/>
  <c r="E110" i="3"/>
  <c r="F110" i="3" s="1"/>
  <c r="E111" i="3"/>
  <c r="E112" i="3"/>
  <c r="F112" i="3" s="1"/>
  <c r="G74" i="3" l="1"/>
  <c r="G72" i="3"/>
  <c r="G73" i="3" s="1"/>
  <c r="E117" i="3"/>
  <c r="E115" i="3"/>
  <c r="E116" i="3" s="1"/>
  <c r="F117" i="3"/>
  <c r="F115" i="3"/>
  <c r="H74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<sst xmlns="http://schemas.openxmlformats.org/spreadsheetml/2006/main" count="232" uniqueCount="129">
  <si>
    <t>HPLC System Suitability Report</t>
  </si>
  <si>
    <t>Analysis Data</t>
  </si>
  <si>
    <t>Assay</t>
  </si>
  <si>
    <t>Sample(s)</t>
  </si>
  <si>
    <t>Reference Substance:</t>
  </si>
  <si>
    <t>CIPEX-250</t>
  </si>
  <si>
    <t>% age Purity:</t>
  </si>
  <si>
    <t>NDQD201509294</t>
  </si>
  <si>
    <t>Weight (mg):</t>
  </si>
  <si>
    <t>CIPROFLOXACIN HYDROCHLORIDE U.S.P.</t>
  </si>
  <si>
    <t>Standard Conc (mg/mL):</t>
  </si>
  <si>
    <t>Each film coated tablet contains: Ciprofloxacin Hydrochloride USP equivalent to Ciprofloxacin 250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</si>
  <si>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</si>
  <si>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</si>
  <si>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</si>
  <si>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</si>
  <si>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</si>
  <si>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</si>
  <si>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</si>
  <si>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</si>
  <si>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</si>
  <si>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</si>
  <si>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</si>
  <si>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</si>
  <si>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</si>
  <si>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</si>
  <si>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</si>
  <si>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</si>
  <si>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</si>
  <si>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</si>
  <si>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</si>
  <si>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</si>
  <si>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</si>
  <si>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</si>
  <si>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</si>
  <si>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</si>
  <si>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</si>
  <si>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</si>
  <si>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</si>
  <si>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</si>
  <si>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</si>
  <si>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</si>
  <si>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</si>
  <si>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</si>
  <si>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</si>
  <si>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</si>
  <si>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</si>
  <si>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</si>
  <si>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</si>
  <si>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</si>
  <si>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</si>
  <si>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</si>
  <si>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</si>
  <si>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</si>
  <si>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</si>
  <si>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</si>
  <si>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</si>
  <si>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</si>
  <si>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</si>
  <si>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</si>
  <si>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</si>
  <si>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</si>
  <si>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</si>
  <si>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</si>
  <si>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</si>
  <si>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</si>
  <si>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</si>
  <si>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</si>
  <si>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</si>
  <si>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</si>
  <si>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</si>
  <si>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</si>
  <si>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</si>
  <si>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</si>
  <si>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</si>
  <si>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</si>
  <si>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</si>
  <si>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</si>
  <si>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</si>
  <si>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</si>
  <si>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</si>
  <si>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</si>
  <si>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</si>
  <si>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</si>
  <si>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</si>
  <si>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</si>
  <si>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</si>
  <si>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</si>
  <si>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</si>
  <si>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</si>
  <si>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</si>
  <si>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</si>
  <si>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</si>
  <si>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</si>
  <si>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</si>
  <si>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</si>
  <si>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</si>
  <si>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</si>
  <si>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</si>
  <si>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</si>
  <si>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</si>
  <si>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</si>
  <si>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</si>
  <si>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</si>
  <si>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</si>
  <si>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</si>
  <si>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</si>
  <si>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</si>
  <si>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</si>
  <si>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</si>
  <si>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</si>
  <si>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</si>
  <si>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</si>
  <si>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</si>
  <si>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</si>
  <si>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</si>
  <si>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</si>
  <si>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</si>
  <si>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</si>
  <si>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</si>
  <si>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</si>
  <si>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</si>
  <si>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</si>
  <si>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</si>
  <si>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Ciprofloxacin Hydrochloride</t>
  </si>
  <si>
    <r>
      <t xml:space="preserve">    </t>
    </r>
    <r>
      <rPr>
        <b/>
        <sz val="20"/>
        <color rgb="FF000000"/>
        <rFont val="Book Antiqua"/>
        <family val="1"/>
      </rPr>
      <t xml:space="preserve"> WRS/C28-6</t>
    </r>
  </si>
  <si>
    <t>22nd Feb 2016</t>
  </si>
  <si>
    <t>2nd March 2016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</si>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</sst>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67" fontId="6" fillId="2" borderId="0" xfId="0" applyNumberFormat="1" applyFont="1" applyFill="1" applyAlignment="1">
      <alignment horizontal="left"/>
    </xf>
    <xf numFmtId="0" fontId="2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9" workbookViewId="0">
      <selection activeCell="B29" sqref="B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81" t="str">
        <f>CIPROFLOXACIN!B26</f>
        <v>Ciprofloxacin Hydrochloride</v>
      </c>
      <c r="C18" s="10"/>
      <c r="D18" s="10"/>
      <c r="E18" s="10"/>
    </row>
    <row r="19" spans="1:6" ht="16.5" customHeight="1" x14ac:dyDescent="0.3">
      <c r="A19" s="11" t="s">
        <v>6</v>
      </c>
      <c r="B19" s="12">
        <f>CIPROFLOXACIN!B28</f>
        <v>99.71</v>
      </c>
      <c r="C19" s="10"/>
      <c r="D19" s="10"/>
      <c r="E19" s="10"/>
    </row>
    <row r="20" spans="1:6" ht="16.5" customHeight="1" x14ac:dyDescent="0.3">
      <c r="A20" s="7" t="s">
        <v>8</v>
      </c>
      <c r="B20" s="12">
        <f>CIPROFLOXACIN!D43</f>
        <v>19.489999999999998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CIPROFLOXACIN!D46</f>
        <v>0.17088167903286325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145903111</v>
      </c>
      <c r="C24" s="18">
        <v>10187.84</v>
      </c>
      <c r="D24" s="19">
        <v>1.1599999999999999</v>
      </c>
      <c r="E24" s="20">
        <v>8.25</v>
      </c>
    </row>
    <row r="25" spans="1:6" ht="16.5" customHeight="1" x14ac:dyDescent="0.3">
      <c r="A25" s="17">
        <v>2</v>
      </c>
      <c r="B25" s="18">
        <v>146059894</v>
      </c>
      <c r="C25" s="18">
        <v>10081.93</v>
      </c>
      <c r="D25" s="19">
        <v>1.1499999999999999</v>
      </c>
      <c r="E25" s="19">
        <v>8.25</v>
      </c>
    </row>
    <row r="26" spans="1:6" ht="16.5" customHeight="1" x14ac:dyDescent="0.3">
      <c r="A26" s="17">
        <v>3</v>
      </c>
      <c r="B26" s="18">
        <v>145759025</v>
      </c>
      <c r="C26" s="18">
        <v>10116.780000000001</v>
      </c>
      <c r="D26" s="19">
        <v>1.17</v>
      </c>
      <c r="E26" s="19">
        <v>8.25</v>
      </c>
    </row>
    <row r="27" spans="1:6" ht="16.5" customHeight="1" x14ac:dyDescent="0.3">
      <c r="A27" s="17">
        <v>4</v>
      </c>
      <c r="B27" s="18">
        <v>145623614</v>
      </c>
      <c r="C27" s="18">
        <v>10048.15</v>
      </c>
      <c r="D27" s="19">
        <v>1.1499999999999999</v>
      </c>
      <c r="E27" s="19">
        <v>8.24</v>
      </c>
    </row>
    <row r="28" spans="1:6" ht="16.5" customHeight="1" x14ac:dyDescent="0.3">
      <c r="A28" s="17">
        <v>5</v>
      </c>
      <c r="B28" s="18">
        <v>146288739</v>
      </c>
      <c r="C28" s="18">
        <v>10048.42</v>
      </c>
      <c r="D28" s="19">
        <v>1.17</v>
      </c>
      <c r="E28" s="19">
        <v>8.23</v>
      </c>
    </row>
    <row r="29" spans="1:6" ht="16.5" customHeight="1" x14ac:dyDescent="0.3">
      <c r="A29" s="17">
        <v>6</v>
      </c>
      <c r="B29" s="21">
        <v>144954856</v>
      </c>
      <c r="C29" s="21">
        <v>10009.14</v>
      </c>
      <c r="D29" s="22">
        <v>1.1599999999999999</v>
      </c>
      <c r="E29" s="22">
        <v>8.1999999999999993</v>
      </c>
    </row>
    <row r="30" spans="1:6" ht="16.5" customHeight="1" x14ac:dyDescent="0.3">
      <c r="A30" s="23" t="s">
        <v>17</v>
      </c>
      <c r="B30" s="24">
        <f>AVERAGE(B24:B29)</f>
        <v>145764873.16666666</v>
      </c>
      <c r="C30" s="25">
        <f>AVERAGE(C24:C29)</f>
        <v>10082.043333333333</v>
      </c>
      <c r="D30" s="26">
        <f>AVERAGE(D24:D29)</f>
        <v>1.1599999999999999</v>
      </c>
      <c r="E30" s="26">
        <f>AVERAGE(E24:E29)</f>
        <v>8.2366666666666664</v>
      </c>
    </row>
    <row r="31" spans="1:6" ht="16.5" customHeight="1" x14ac:dyDescent="0.3">
      <c r="A31" s="27" t="s">
        <v>18</v>
      </c>
      <c r="B31" s="28">
        <f>(STDEV(B24:B29)/B30)</f>
        <v>3.1538256262616392E-3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  <c r="C38" s="281" t="s">
        <v>128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25</v>
      </c>
      <c r="C59" s="28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E23" sqref="E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30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31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32</v>
      </c>
      <c r="B14" s="291"/>
      <c r="C14" s="60" t="s">
        <v>5</v>
      </c>
    </row>
    <row r="15" spans="1:7" ht="16.5" customHeight="1" x14ac:dyDescent="0.3">
      <c r="A15" s="291" t="s">
        <v>33</v>
      </c>
      <c r="B15" s="291"/>
      <c r="C15" s="60" t="s">
        <v>7</v>
      </c>
    </row>
    <row r="16" spans="1:7" ht="16.5" customHeight="1" x14ac:dyDescent="0.3">
      <c r="A16" s="291" t="s">
        <v>34</v>
      </c>
      <c r="B16" s="291"/>
      <c r="C16" s="60" t="s">
        <v>9</v>
      </c>
    </row>
    <row r="17" spans="1:5" ht="16.5" customHeight="1" x14ac:dyDescent="0.3">
      <c r="A17" s="291" t="s">
        <v>35</v>
      </c>
      <c r="B17" s="291"/>
      <c r="C17" s="60" t="s">
        <v>11</v>
      </c>
    </row>
    <row r="18" spans="1:5" ht="16.5" customHeight="1" x14ac:dyDescent="0.3">
      <c r="A18" s="291" t="s">
        <v>36</v>
      </c>
      <c r="B18" s="291"/>
      <c r="C18" s="280" t="str">
        <f>CIPROFLOXACIN!B22</f>
        <v>22nd Feb 2016</v>
      </c>
    </row>
    <row r="19" spans="1:5" ht="16.5" customHeight="1" x14ac:dyDescent="0.3">
      <c r="A19" s="291" t="s">
        <v>37</v>
      </c>
      <c r="B19" s="291"/>
      <c r="C19" s="280" t="str">
        <f>CIPROFLOXACIN!B23</f>
        <v>2nd March 2016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38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391.8</v>
      </c>
      <c r="D24" s="87">
        <f t="shared" ref="D24:D43" si="0">(C24-$C$46)/$C$46</f>
        <v>-2.154612551764338E-3</v>
      </c>
      <c r="E24" s="53"/>
    </row>
    <row r="25" spans="1:5" ht="15.75" customHeight="1" x14ac:dyDescent="0.3">
      <c r="C25" s="95">
        <v>419.76</v>
      </c>
      <c r="D25" s="88">
        <f t="shared" si="0"/>
        <v>6.905456823703772E-2</v>
      </c>
      <c r="E25" s="53"/>
    </row>
    <row r="26" spans="1:5" ht="15.75" customHeight="1" x14ac:dyDescent="0.3">
      <c r="C26" s="95">
        <v>401.75</v>
      </c>
      <c r="D26" s="88">
        <f t="shared" si="0"/>
        <v>2.3186279753263567E-2</v>
      </c>
      <c r="E26" s="53"/>
    </row>
    <row r="27" spans="1:5" ht="15.75" customHeight="1" x14ac:dyDescent="0.3">
      <c r="C27" s="95">
        <v>390.03</v>
      </c>
      <c r="D27" s="88">
        <f t="shared" si="0"/>
        <v>-6.662489876377446E-3</v>
      </c>
      <c r="E27" s="53"/>
    </row>
    <row r="28" spans="1:5" ht="15.75" customHeight="1" x14ac:dyDescent="0.3">
      <c r="C28" s="95">
        <v>376.6</v>
      </c>
      <c r="D28" s="88">
        <f t="shared" si="0"/>
        <v>-4.0866327429796935E-2</v>
      </c>
      <c r="E28" s="53"/>
    </row>
    <row r="29" spans="1:5" ht="15.75" customHeight="1" x14ac:dyDescent="0.3">
      <c r="C29" s="95">
        <v>394.92</v>
      </c>
      <c r="D29" s="88">
        <f t="shared" si="0"/>
        <v>5.7914762916213168E-3</v>
      </c>
      <c r="E29" s="53"/>
    </row>
    <row r="30" spans="1:5" ht="15.75" customHeight="1" x14ac:dyDescent="0.3">
      <c r="C30" s="95">
        <v>403.64</v>
      </c>
      <c r="D30" s="88">
        <f t="shared" si="0"/>
        <v>2.7999775879545219E-2</v>
      </c>
      <c r="E30" s="53"/>
    </row>
    <row r="31" spans="1:5" ht="15.75" customHeight="1" x14ac:dyDescent="0.3">
      <c r="C31" s="95">
        <v>397.52</v>
      </c>
      <c r="D31" s="88">
        <f t="shared" si="0"/>
        <v>1.2413216994442601E-2</v>
      </c>
      <c r="E31" s="53"/>
    </row>
    <row r="32" spans="1:5" ht="15.75" customHeight="1" x14ac:dyDescent="0.3">
      <c r="C32" s="95">
        <v>385.57</v>
      </c>
      <c r="D32" s="88">
        <f t="shared" si="0"/>
        <v>-1.8021322005063282E-2</v>
      </c>
      <c r="E32" s="53"/>
    </row>
    <row r="33" spans="1:7" ht="15.75" customHeight="1" x14ac:dyDescent="0.3">
      <c r="C33" s="95">
        <v>388.98</v>
      </c>
      <c r="D33" s="88">
        <f t="shared" si="0"/>
        <v>-9.3366543909782686E-3</v>
      </c>
      <c r="E33" s="53"/>
    </row>
    <row r="34" spans="1:7" ht="15.75" customHeight="1" x14ac:dyDescent="0.3">
      <c r="C34" s="95">
        <v>392.37</v>
      </c>
      <c r="D34" s="88">
        <f t="shared" si="0"/>
        <v>-7.0292324383813224E-4</v>
      </c>
      <c r="E34" s="53"/>
    </row>
    <row r="35" spans="1:7" ht="15.75" customHeight="1" x14ac:dyDescent="0.3">
      <c r="C35" s="95">
        <v>379.09</v>
      </c>
      <c r="D35" s="88">
        <f t="shared" si="0"/>
        <v>-3.452473729517197E-2</v>
      </c>
      <c r="E35" s="53"/>
    </row>
    <row r="36" spans="1:7" ht="15.75" customHeight="1" x14ac:dyDescent="0.3">
      <c r="C36" s="95">
        <v>384.56</v>
      </c>
      <c r="D36" s="88">
        <f t="shared" si="0"/>
        <v>-2.0593613585774637E-2</v>
      </c>
      <c r="E36" s="53"/>
    </row>
    <row r="37" spans="1:7" ht="15.75" customHeight="1" x14ac:dyDescent="0.3">
      <c r="C37" s="95">
        <v>400.49</v>
      </c>
      <c r="D37" s="88">
        <f t="shared" si="0"/>
        <v>1.9977282335742464E-2</v>
      </c>
      <c r="E37" s="53"/>
    </row>
    <row r="38" spans="1:7" ht="15.75" customHeight="1" x14ac:dyDescent="0.3">
      <c r="C38" s="95">
        <v>372.43</v>
      </c>
      <c r="D38" s="88">
        <f t="shared" si="0"/>
        <v>-5.1486580787783551E-2</v>
      </c>
      <c r="E38" s="53"/>
    </row>
    <row r="39" spans="1:7" ht="15.75" customHeight="1" x14ac:dyDescent="0.3">
      <c r="C39" s="95">
        <v>386.22</v>
      </c>
      <c r="D39" s="88">
        <f t="shared" si="0"/>
        <v>-1.6365886829357853E-2</v>
      </c>
      <c r="E39" s="53"/>
    </row>
    <row r="40" spans="1:7" ht="15.75" customHeight="1" x14ac:dyDescent="0.3">
      <c r="C40" s="95">
        <v>395.55</v>
      </c>
      <c r="D40" s="88">
        <f t="shared" si="0"/>
        <v>7.3959750003818681E-3</v>
      </c>
      <c r="E40" s="53"/>
    </row>
    <row r="41" spans="1:7" ht="15.75" customHeight="1" x14ac:dyDescent="0.3">
      <c r="C41" s="95">
        <v>407.13</v>
      </c>
      <c r="D41" s="88">
        <f t="shared" si="0"/>
        <v>3.6888189361409314E-2</v>
      </c>
      <c r="E41" s="53"/>
    </row>
    <row r="42" spans="1:7" ht="15.75" customHeight="1" x14ac:dyDescent="0.3">
      <c r="C42" s="95">
        <v>393.07</v>
      </c>
      <c r="D42" s="88">
        <f t="shared" si="0"/>
        <v>1.0798530992291307E-3</v>
      </c>
      <c r="E42" s="53"/>
    </row>
    <row r="43" spans="1:7" ht="16.5" customHeight="1" x14ac:dyDescent="0.3">
      <c r="C43" s="96">
        <v>391.44</v>
      </c>
      <c r="D43" s="89">
        <f t="shared" si="0"/>
        <v>-3.0714689567704089E-3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7852.920000000001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392.64600000000007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4">
        <f>C46</f>
        <v>392.64600000000007</v>
      </c>
      <c r="C49" s="93">
        <f>-IF(C46&lt;=80,10%,IF(C46&lt;250,7.5%,5%))</f>
        <v>-0.05</v>
      </c>
      <c r="D49" s="81">
        <f>IF(C46&lt;=80,C46*0.9,IF(C46&lt;250,C46*0.925,C46*0.95))</f>
        <v>373.01370000000003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412.27830000000012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3" zoomScale="60" zoomScaleNormal="60" zoomScalePageLayoutView="55" workbookViewId="0">
      <selection activeCell="D108" sqref="D10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44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45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7"/>
    </row>
    <row r="16" spans="1:9" ht="19.5" customHeight="1" x14ac:dyDescent="0.3">
      <c r="A16" s="293" t="s">
        <v>30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46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99" t="s">
        <v>32</v>
      </c>
      <c r="B18" s="292" t="s">
        <v>5</v>
      </c>
      <c r="C18" s="292"/>
      <c r="D18" s="264"/>
      <c r="E18" s="100"/>
      <c r="F18" s="101"/>
      <c r="G18" s="101"/>
      <c r="H18" s="101"/>
    </row>
    <row r="19" spans="1:14" ht="26.25" customHeight="1" x14ac:dyDescent="0.4">
      <c r="A19" s="99" t="s">
        <v>33</v>
      </c>
      <c r="B19" s="102" t="s">
        <v>7</v>
      </c>
      <c r="C19" s="277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34</v>
      </c>
      <c r="B20" s="297" t="s">
        <v>9</v>
      </c>
      <c r="C20" s="297"/>
      <c r="D20" s="101"/>
      <c r="E20" s="101"/>
      <c r="F20" s="101"/>
      <c r="G20" s="101"/>
      <c r="H20" s="101"/>
    </row>
    <row r="21" spans="1:14" ht="26.25" customHeight="1" x14ac:dyDescent="0.4">
      <c r="A21" s="99" t="s">
        <v>35</v>
      </c>
      <c r="B21" s="297" t="s">
        <v>11</v>
      </c>
      <c r="C21" s="297"/>
      <c r="D21" s="297"/>
      <c r="E21" s="297"/>
      <c r="F21" s="297"/>
      <c r="G21" s="297"/>
      <c r="H21" s="297"/>
      <c r="I21" s="103"/>
    </row>
    <row r="22" spans="1:14" ht="26.25" customHeight="1" x14ac:dyDescent="0.4">
      <c r="A22" s="99" t="s">
        <v>36</v>
      </c>
      <c r="B22" s="104" t="s">
        <v>126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37</v>
      </c>
      <c r="B23" s="104" t="s">
        <v>127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292" t="s">
        <v>124</v>
      </c>
      <c r="C26" s="292"/>
    </row>
    <row r="27" spans="1:14" ht="26.25" customHeight="1" x14ac:dyDescent="0.4">
      <c r="A27" s="108" t="s">
        <v>47</v>
      </c>
      <c r="B27" s="298" t="s">
        <v>125</v>
      </c>
      <c r="C27" s="298"/>
    </row>
    <row r="28" spans="1:14" ht="27" customHeight="1" x14ac:dyDescent="0.4">
      <c r="A28" s="108" t="s">
        <v>6</v>
      </c>
      <c r="B28" s="109">
        <v>99.71</v>
      </c>
    </row>
    <row r="29" spans="1:14" s="14" customFormat="1" ht="27" customHeight="1" x14ac:dyDescent="0.4">
      <c r="A29" s="108" t="s">
        <v>48</v>
      </c>
      <c r="B29" s="207">
        <v>5.92</v>
      </c>
      <c r="C29" s="299" t="s">
        <v>49</v>
      </c>
      <c r="D29" s="300"/>
      <c r="E29" s="300"/>
      <c r="F29" s="300"/>
      <c r="G29" s="301"/>
      <c r="I29" s="111"/>
      <c r="J29" s="111"/>
      <c r="K29" s="111"/>
      <c r="L29" s="111"/>
    </row>
    <row r="30" spans="1:14" s="14" customFormat="1" ht="19.5" customHeight="1" x14ac:dyDescent="0.3">
      <c r="A30" s="108" t="s">
        <v>50</v>
      </c>
      <c r="B30" s="112">
        <f>B28-B29</f>
        <v>93.789999999999992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51</v>
      </c>
      <c r="B31" s="115">
        <v>154.46</v>
      </c>
      <c r="C31" s="302" t="s">
        <v>52</v>
      </c>
      <c r="D31" s="303"/>
      <c r="E31" s="303"/>
      <c r="F31" s="303"/>
      <c r="G31" s="303"/>
      <c r="H31" s="304"/>
      <c r="I31" s="111"/>
      <c r="J31" s="111"/>
      <c r="K31" s="111"/>
      <c r="L31" s="111"/>
    </row>
    <row r="32" spans="1:14" s="14" customFormat="1" ht="27" customHeight="1" x14ac:dyDescent="0.4">
      <c r="A32" s="108" t="s">
        <v>53</v>
      </c>
      <c r="B32" s="115">
        <v>165.23</v>
      </c>
      <c r="C32" s="302" t="s">
        <v>54</v>
      </c>
      <c r="D32" s="303"/>
      <c r="E32" s="303"/>
      <c r="F32" s="303"/>
      <c r="G32" s="303"/>
      <c r="H32" s="304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55</v>
      </c>
      <c r="B34" s="120">
        <f>B31/B32</f>
        <v>0.93481813230042976</v>
      </c>
      <c r="C34" s="98" t="s">
        <v>56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57</v>
      </c>
      <c r="B36" s="122">
        <v>100</v>
      </c>
      <c r="C36" s="98"/>
      <c r="D36" s="305" t="s">
        <v>58</v>
      </c>
      <c r="E36" s="306"/>
      <c r="F36" s="305" t="s">
        <v>59</v>
      </c>
      <c r="G36" s="307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60</v>
      </c>
      <c r="B37" s="124">
        <v>1</v>
      </c>
      <c r="C37" s="125" t="s">
        <v>61</v>
      </c>
      <c r="D37" s="126" t="s">
        <v>62</v>
      </c>
      <c r="E37" s="127" t="s">
        <v>63</v>
      </c>
      <c r="F37" s="126" t="s">
        <v>62</v>
      </c>
      <c r="G37" s="128" t="s">
        <v>63</v>
      </c>
      <c r="I37" s="129" t="s">
        <v>64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65</v>
      </c>
      <c r="B38" s="124">
        <v>1</v>
      </c>
      <c r="C38" s="130">
        <v>1</v>
      </c>
      <c r="D38" s="131">
        <v>143646315</v>
      </c>
      <c r="E38" s="132">
        <f>IF(ISBLANK(D38),"-",$D$48/$D$45*D38)</f>
        <v>168123716.72960275</v>
      </c>
      <c r="F38" s="131">
        <v>152373646</v>
      </c>
      <c r="G38" s="133">
        <f>IF(ISBLANK(F38),"-",$D$48/$F$45*F38)</f>
        <v>169551771.06358746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66</v>
      </c>
      <c r="B39" s="124">
        <v>1</v>
      </c>
      <c r="C39" s="135">
        <v>2</v>
      </c>
      <c r="D39" s="136">
        <v>143624784</v>
      </c>
      <c r="E39" s="137">
        <f>IF(ISBLANK(D39),"-",$D$48/$D$45*D39)</f>
        <v>168098516.83676243</v>
      </c>
      <c r="F39" s="136">
        <v>152250161</v>
      </c>
      <c r="G39" s="138">
        <f>IF(ISBLANK(F39),"-",$D$48/$F$45*F39)</f>
        <v>169414364.7535108</v>
      </c>
      <c r="I39" s="309">
        <f>ABS((F43/D43*D42)-F42)/D42</f>
        <v>8.0548574724903944E-3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67</v>
      </c>
      <c r="B40" s="124">
        <v>1</v>
      </c>
      <c r="C40" s="135">
        <v>3</v>
      </c>
      <c r="D40" s="136">
        <v>143194062</v>
      </c>
      <c r="E40" s="137">
        <f>IF(ISBLANK(D40),"-",$D$48/$D$45*D40)</f>
        <v>167594399.59910682</v>
      </c>
      <c r="F40" s="136">
        <v>151616017</v>
      </c>
      <c r="G40" s="138">
        <f>IF(ISBLANK(F40),"-",$D$48/$F$45*F40)</f>
        <v>168708729.35571143</v>
      </c>
      <c r="I40" s="309"/>
      <c r="L40" s="116"/>
      <c r="M40" s="116"/>
      <c r="N40" s="139"/>
    </row>
    <row r="41" spans="1:14" ht="27" customHeight="1" x14ac:dyDescent="0.4">
      <c r="A41" s="123" t="s">
        <v>68</v>
      </c>
      <c r="B41" s="124">
        <v>1</v>
      </c>
      <c r="C41" s="140">
        <v>4</v>
      </c>
      <c r="D41" s="141"/>
      <c r="E41" s="142"/>
      <c r="F41" s="141"/>
      <c r="G41" s="143"/>
      <c r="I41" s="144"/>
      <c r="L41" s="116"/>
      <c r="M41" s="116"/>
      <c r="N41" s="139"/>
    </row>
    <row r="42" spans="1:14" ht="27" customHeight="1" x14ac:dyDescent="0.4">
      <c r="A42" s="123" t="s">
        <v>69</v>
      </c>
      <c r="B42" s="124">
        <v>1</v>
      </c>
      <c r="C42" s="145" t="s">
        <v>70</v>
      </c>
      <c r="D42" s="146">
        <f>AVERAGE(D38:D41)</f>
        <v>143488387</v>
      </c>
      <c r="E42" s="147">
        <f>AVERAGE(E38:E41)</f>
        <v>167938877.72182402</v>
      </c>
      <c r="F42" s="146">
        <f>AVERAGE(F38:F41)</f>
        <v>152079941.33333334</v>
      </c>
      <c r="G42" s="148">
        <f>AVERAGE(G38:G41)</f>
        <v>169224955.05760324</v>
      </c>
      <c r="H42" s="149"/>
    </row>
    <row r="43" spans="1:14" ht="26.25" customHeight="1" x14ac:dyDescent="0.4">
      <c r="A43" s="123" t="s">
        <v>71</v>
      </c>
      <c r="B43" s="124">
        <v>1</v>
      </c>
      <c r="C43" s="150" t="s">
        <v>72</v>
      </c>
      <c r="D43" s="151">
        <v>19.489999999999998</v>
      </c>
      <c r="E43" s="139"/>
      <c r="F43" s="151">
        <v>20.5</v>
      </c>
      <c r="H43" s="149"/>
    </row>
    <row r="44" spans="1:14" ht="26.25" customHeight="1" x14ac:dyDescent="0.4">
      <c r="A44" s="123" t="s">
        <v>73</v>
      </c>
      <c r="B44" s="124">
        <v>1</v>
      </c>
      <c r="C44" s="152" t="s">
        <v>74</v>
      </c>
      <c r="D44" s="153">
        <f>D43*$B$34</f>
        <v>18.219605398535375</v>
      </c>
      <c r="E44" s="154"/>
      <c r="F44" s="153">
        <f>F43*$B$34</f>
        <v>19.163771712158809</v>
      </c>
      <c r="H44" s="149"/>
    </row>
    <row r="45" spans="1:14" ht="19.5" customHeight="1" x14ac:dyDescent="0.3">
      <c r="A45" s="123" t="s">
        <v>75</v>
      </c>
      <c r="B45" s="155">
        <f>(B44/B43)*(B42/B41)*(B40/B39)*(B38/B37)*B36</f>
        <v>100</v>
      </c>
      <c r="C45" s="152" t="s">
        <v>76</v>
      </c>
      <c r="D45" s="156">
        <f>D44*$B$30/100</f>
        <v>17.088167903286326</v>
      </c>
      <c r="E45" s="157"/>
      <c r="F45" s="156">
        <f>F44*$B$30/100</f>
        <v>17.973701488833743</v>
      </c>
      <c r="H45" s="149"/>
    </row>
    <row r="46" spans="1:14" ht="19.5" customHeight="1" x14ac:dyDescent="0.3">
      <c r="A46" s="310" t="s">
        <v>77</v>
      </c>
      <c r="B46" s="311"/>
      <c r="C46" s="152" t="s">
        <v>78</v>
      </c>
      <c r="D46" s="158">
        <f>D45/$B$45</f>
        <v>0.17088167903286325</v>
      </c>
      <c r="E46" s="159"/>
      <c r="F46" s="160">
        <f>F45/$B$45</f>
        <v>0.17973701488833743</v>
      </c>
      <c r="H46" s="149"/>
    </row>
    <row r="47" spans="1:14" ht="27" customHeight="1" x14ac:dyDescent="0.4">
      <c r="A47" s="312"/>
      <c r="B47" s="313"/>
      <c r="C47" s="161" t="s">
        <v>79</v>
      </c>
      <c r="D47" s="162">
        <v>0.2</v>
      </c>
      <c r="E47" s="163"/>
      <c r="F47" s="159"/>
      <c r="H47" s="149"/>
    </row>
    <row r="48" spans="1:14" ht="18.75" x14ac:dyDescent="0.3">
      <c r="C48" s="164" t="s">
        <v>80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81</v>
      </c>
      <c r="D49" s="167">
        <f>D48/B34</f>
        <v>21.394535802149424</v>
      </c>
      <c r="F49" s="165"/>
      <c r="H49" s="149"/>
    </row>
    <row r="50" spans="1:12" ht="18.75" x14ac:dyDescent="0.3">
      <c r="C50" s="121" t="s">
        <v>82</v>
      </c>
      <c r="D50" s="168">
        <f>AVERAGE(E38:E41,G38:G41)</f>
        <v>168581916.38971362</v>
      </c>
      <c r="F50" s="169"/>
      <c r="H50" s="149"/>
    </row>
    <row r="51" spans="1:12" ht="18.75" x14ac:dyDescent="0.3">
      <c r="C51" s="123" t="s">
        <v>83</v>
      </c>
      <c r="D51" s="170">
        <f>STDEV(E38:E41,G38:G41)/D50</f>
        <v>4.6469259968634031E-3</v>
      </c>
      <c r="F51" s="169"/>
      <c r="H51" s="149"/>
    </row>
    <row r="52" spans="1:12" ht="19.5" customHeight="1" x14ac:dyDescent="0.3">
      <c r="C52" s="171" t="s">
        <v>19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84</v>
      </c>
    </row>
    <row r="55" spans="1:12" ht="18.75" x14ac:dyDescent="0.3">
      <c r="A55" s="98" t="s">
        <v>85</v>
      </c>
      <c r="B55" s="175" t="str">
        <f>B21</f>
        <v>Each film coated tablet contains: Ciprofloxacin Hydrochloride USP equivalent to Ciprofloxacin 250 mg.</v>
      </c>
    </row>
    <row r="56" spans="1:12" ht="26.25" customHeight="1" x14ac:dyDescent="0.4">
      <c r="A56" s="176" t="s">
        <v>86</v>
      </c>
      <c r="B56" s="177">
        <v>250</v>
      </c>
      <c r="C56" s="98" t="str">
        <f>B20</f>
        <v>CIPROFLOXACIN HYDROCHLORIDE U.S.P.</v>
      </c>
      <c r="H56" s="178"/>
    </row>
    <row r="57" spans="1:12" ht="18.75" x14ac:dyDescent="0.3">
      <c r="A57" s="175" t="s">
        <v>87</v>
      </c>
      <c r="B57" s="265">
        <f>Uniformity!C46</f>
        <v>392.64600000000007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88</v>
      </c>
      <c r="B59" s="122">
        <v>100</v>
      </c>
      <c r="C59" s="98"/>
      <c r="D59" s="179" t="s">
        <v>89</v>
      </c>
      <c r="E59" s="180" t="s">
        <v>61</v>
      </c>
      <c r="F59" s="180" t="s">
        <v>62</v>
      </c>
      <c r="G59" s="180" t="s">
        <v>90</v>
      </c>
      <c r="H59" s="125" t="s">
        <v>91</v>
      </c>
      <c r="L59" s="111"/>
    </row>
    <row r="60" spans="1:12" s="14" customFormat="1" ht="26.25" customHeight="1" x14ac:dyDescent="0.4">
      <c r="A60" s="123" t="s">
        <v>92</v>
      </c>
      <c r="B60" s="124">
        <v>4</v>
      </c>
      <c r="C60" s="314" t="s">
        <v>93</v>
      </c>
      <c r="D60" s="317">
        <v>152.69999999999999</v>
      </c>
      <c r="E60" s="181">
        <v>1</v>
      </c>
      <c r="F60" s="182">
        <v>159738523</v>
      </c>
      <c r="G60" s="266">
        <f>IF(ISBLANK(F60),"-",(F60/$D$50*$D$47*$B$68)*($B$57/$D$60))</f>
        <v>243.64685983087458</v>
      </c>
      <c r="H60" s="183">
        <f t="shared" ref="H60:H71" si="0">IF(ISBLANK(F60),"-",G60/$B$56)</f>
        <v>0.97458743932349834</v>
      </c>
      <c r="L60" s="111"/>
    </row>
    <row r="61" spans="1:12" s="14" customFormat="1" ht="26.25" customHeight="1" x14ac:dyDescent="0.4">
      <c r="A61" s="123" t="s">
        <v>94</v>
      </c>
      <c r="B61" s="124">
        <v>20</v>
      </c>
      <c r="C61" s="315"/>
      <c r="D61" s="318"/>
      <c r="E61" s="184">
        <v>2</v>
      </c>
      <c r="F61" s="136">
        <v>159064632</v>
      </c>
      <c r="G61" s="267">
        <f>IF(ISBLANK(F61),"-",(F61/$D$50*$D$47*$B$68)*($B$57/$D$60))</f>
        <v>242.61898363085302</v>
      </c>
      <c r="H61" s="185">
        <f t="shared" si="0"/>
        <v>0.97047593452341208</v>
      </c>
      <c r="L61" s="111"/>
    </row>
    <row r="62" spans="1:12" s="14" customFormat="1" ht="26.25" customHeight="1" x14ac:dyDescent="0.4">
      <c r="A62" s="123" t="s">
        <v>95</v>
      </c>
      <c r="B62" s="124">
        <v>1</v>
      </c>
      <c r="C62" s="315"/>
      <c r="D62" s="318"/>
      <c r="E62" s="184">
        <v>3</v>
      </c>
      <c r="F62" s="186">
        <v>157159515</v>
      </c>
      <c r="G62" s="267">
        <f>IF(ISBLANK(F62),"-",(F62/$D$50*$D$47*$B$68)*($B$57/$D$60))</f>
        <v>239.71313621256675</v>
      </c>
      <c r="H62" s="185">
        <f t="shared" si="0"/>
        <v>0.95885254485026705</v>
      </c>
      <c r="L62" s="111"/>
    </row>
    <row r="63" spans="1:12" ht="27" customHeight="1" x14ac:dyDescent="0.4">
      <c r="A63" s="123" t="s">
        <v>96</v>
      </c>
      <c r="B63" s="124">
        <v>1</v>
      </c>
      <c r="C63" s="316"/>
      <c r="D63" s="319"/>
      <c r="E63" s="187">
        <v>4</v>
      </c>
      <c r="F63" s="188"/>
      <c r="G63" s="267"/>
      <c r="H63" s="185"/>
    </row>
    <row r="64" spans="1:12" ht="26.25" customHeight="1" x14ac:dyDescent="0.4">
      <c r="A64" s="123" t="s">
        <v>97</v>
      </c>
      <c r="B64" s="124">
        <v>1</v>
      </c>
      <c r="C64" s="314" t="s">
        <v>98</v>
      </c>
      <c r="D64" s="317">
        <v>153.88999999999999</v>
      </c>
      <c r="E64" s="181">
        <v>1</v>
      </c>
      <c r="F64" s="182">
        <v>162182776</v>
      </c>
      <c r="G64" s="268">
        <f>IF(ISBLANK(F64),"-",(F64/$D$50*$D$47*$B$68)*($B$57/$D$64))</f>
        <v>245.46214281031297</v>
      </c>
      <c r="H64" s="189">
        <f t="shared" si="0"/>
        <v>0.98184857124125191</v>
      </c>
    </row>
    <row r="65" spans="1:8" ht="26.25" customHeight="1" x14ac:dyDescent="0.4">
      <c r="A65" s="123" t="s">
        <v>99</v>
      </c>
      <c r="B65" s="124">
        <v>1</v>
      </c>
      <c r="C65" s="315"/>
      <c r="D65" s="318"/>
      <c r="E65" s="184">
        <v>2</v>
      </c>
      <c r="F65" s="136">
        <v>161031607</v>
      </c>
      <c r="G65" s="269">
        <f>IF(ISBLANK(F65),"-",(F65/$D$50*$D$47*$B$68)*($B$57/$D$64))</f>
        <v>243.71985909532216</v>
      </c>
      <c r="H65" s="190">
        <f t="shared" si="0"/>
        <v>0.97487943638128871</v>
      </c>
    </row>
    <row r="66" spans="1:8" ht="26.25" customHeight="1" x14ac:dyDescent="0.4">
      <c r="A66" s="123" t="s">
        <v>100</v>
      </c>
      <c r="B66" s="124">
        <v>1</v>
      </c>
      <c r="C66" s="315"/>
      <c r="D66" s="318"/>
      <c r="E66" s="184">
        <v>3</v>
      </c>
      <c r="F66" s="136">
        <v>159667395</v>
      </c>
      <c r="G66" s="269">
        <f>IF(ISBLANK(F66),"-",(F66/$D$50*$D$47*$B$68)*($B$57/$D$64))</f>
        <v>241.6551367553399</v>
      </c>
      <c r="H66" s="190">
        <f t="shared" si="0"/>
        <v>0.96662054702135958</v>
      </c>
    </row>
    <row r="67" spans="1:8" ht="27" customHeight="1" x14ac:dyDescent="0.4">
      <c r="A67" s="123" t="s">
        <v>101</v>
      </c>
      <c r="B67" s="124">
        <v>1</v>
      </c>
      <c r="C67" s="316"/>
      <c r="D67" s="319"/>
      <c r="E67" s="187">
        <v>4</v>
      </c>
      <c r="F67" s="188"/>
      <c r="G67" s="270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102</v>
      </c>
      <c r="B68" s="192">
        <f>(B67/B66)*(B65/B64)*(B63/B62)*(B61/B60)*B59</f>
        <v>500</v>
      </c>
      <c r="C68" s="314" t="s">
        <v>103</v>
      </c>
      <c r="D68" s="317">
        <v>159.86000000000001</v>
      </c>
      <c r="E68" s="181">
        <v>1</v>
      </c>
      <c r="F68" s="182">
        <v>168861040</v>
      </c>
      <c r="G68" s="268">
        <f>IF(ISBLANK(F68),"-",(F68/$D$50*$D$47*$B$68)*($B$57/$D$68))</f>
        <v>246.02534084694432</v>
      </c>
      <c r="H68" s="185">
        <f t="shared" si="0"/>
        <v>0.98410136338777732</v>
      </c>
    </row>
    <row r="69" spans="1:8" ht="27" customHeight="1" x14ac:dyDescent="0.4">
      <c r="A69" s="171" t="s">
        <v>104</v>
      </c>
      <c r="B69" s="193">
        <f>(D47*B68)/B56*B57</f>
        <v>157.05840000000003</v>
      </c>
      <c r="C69" s="315"/>
      <c r="D69" s="318"/>
      <c r="E69" s="184">
        <v>2</v>
      </c>
      <c r="F69" s="136">
        <v>165903349</v>
      </c>
      <c r="G69" s="269">
        <f>IF(ISBLANK(F69),"-",(F69/$D$50*$D$47*$B$68)*($B$57/$D$68))</f>
        <v>241.71607604320428</v>
      </c>
      <c r="H69" s="185">
        <f>IF(ISBLANK(F69),"-",G69/$B$56)</f>
        <v>0.9668643041728171</v>
      </c>
    </row>
    <row r="70" spans="1:8" ht="26.25" customHeight="1" x14ac:dyDescent="0.4">
      <c r="A70" s="327" t="s">
        <v>77</v>
      </c>
      <c r="B70" s="328"/>
      <c r="C70" s="315"/>
      <c r="D70" s="318"/>
      <c r="E70" s="184">
        <v>3</v>
      </c>
      <c r="F70" s="136">
        <v>164881900</v>
      </c>
      <c r="G70" s="269">
        <f>IF(ISBLANK(F70),"-",(F70/$D$50*$D$47*$B$68)*($B$57/$D$68))</f>
        <v>240.22785627159342</v>
      </c>
      <c r="H70" s="185">
        <f t="shared" si="0"/>
        <v>0.96091142508637373</v>
      </c>
    </row>
    <row r="71" spans="1:8" ht="27" customHeight="1" x14ac:dyDescent="0.4">
      <c r="A71" s="329"/>
      <c r="B71" s="330"/>
      <c r="C71" s="326"/>
      <c r="D71" s="319"/>
      <c r="E71" s="187">
        <v>4</v>
      </c>
      <c r="F71" s="188"/>
      <c r="G71" s="270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70</v>
      </c>
      <c r="G72" s="275">
        <f>AVERAGE(G60:G71)</f>
        <v>242.75393238855682</v>
      </c>
      <c r="H72" s="198">
        <f>AVERAGE(H60:H71)</f>
        <v>0.97101572955422732</v>
      </c>
    </row>
    <row r="73" spans="1:8" ht="26.25" customHeight="1" x14ac:dyDescent="0.4">
      <c r="C73" s="195"/>
      <c r="D73" s="195"/>
      <c r="E73" s="195"/>
      <c r="F73" s="199" t="s">
        <v>83</v>
      </c>
      <c r="G73" s="271">
        <f>STDEV(G60:G71)/G72</f>
        <v>8.9421609408218295E-3</v>
      </c>
      <c r="H73" s="271">
        <f>STDEV(H60:H71)/H72</f>
        <v>8.9421609408218417E-3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19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7" t="s">
        <v>105</v>
      </c>
      <c r="B76" s="203" t="s">
        <v>106</v>
      </c>
      <c r="C76" s="322" t="str">
        <f>B20</f>
        <v>CIPROFLOXACIN HYDROCHLORIDE U.S.P.</v>
      </c>
      <c r="D76" s="322"/>
      <c r="E76" s="204" t="s">
        <v>107</v>
      </c>
      <c r="F76" s="204"/>
      <c r="G76" s="205">
        <f>H72</f>
        <v>0.97101572955422732</v>
      </c>
      <c r="H76" s="206"/>
    </row>
    <row r="77" spans="1:8" ht="18.75" x14ac:dyDescent="0.3">
      <c r="A77" s="106" t="s">
        <v>108</v>
      </c>
      <c r="B77" s="106" t="s">
        <v>109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08" t="str">
        <f>B26</f>
        <v>Ciprofloxacin Hydrochloride</v>
      </c>
      <c r="C79" s="308"/>
    </row>
    <row r="80" spans="1:8" ht="26.25" customHeight="1" x14ac:dyDescent="0.4">
      <c r="A80" s="108" t="s">
        <v>47</v>
      </c>
      <c r="B80" s="308" t="str">
        <f>B27</f>
        <v xml:space="preserve">     WRS/C28-6</v>
      </c>
      <c r="C80" s="308"/>
    </row>
    <row r="81" spans="1:12" ht="27" customHeight="1" x14ac:dyDescent="0.4">
      <c r="A81" s="108" t="s">
        <v>6</v>
      </c>
      <c r="B81" s="207">
        <f>B28</f>
        <v>99.71</v>
      </c>
    </row>
    <row r="82" spans="1:12" s="14" customFormat="1" ht="27" customHeight="1" x14ac:dyDescent="0.4">
      <c r="A82" s="108" t="s">
        <v>48</v>
      </c>
      <c r="B82" s="110">
        <f>B29</f>
        <v>5.92</v>
      </c>
      <c r="C82" s="299" t="s">
        <v>49</v>
      </c>
      <c r="D82" s="300"/>
      <c r="E82" s="300"/>
      <c r="F82" s="300"/>
      <c r="G82" s="301"/>
      <c r="I82" s="111"/>
      <c r="J82" s="111"/>
      <c r="K82" s="111"/>
      <c r="L82" s="111"/>
    </row>
    <row r="83" spans="1:12" s="14" customFormat="1" ht="19.5" customHeight="1" x14ac:dyDescent="0.3">
      <c r="A83" s="108" t="s">
        <v>50</v>
      </c>
      <c r="B83" s="112">
        <f>B81-B82</f>
        <v>93.789999999999992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51</v>
      </c>
      <c r="B84" s="115">
        <v>154.46</v>
      </c>
      <c r="C84" s="302" t="s">
        <v>110</v>
      </c>
      <c r="D84" s="303"/>
      <c r="E84" s="303"/>
      <c r="F84" s="303"/>
      <c r="G84" s="303"/>
      <c r="H84" s="304"/>
      <c r="I84" s="111"/>
      <c r="J84" s="111"/>
      <c r="K84" s="111"/>
      <c r="L84" s="111"/>
    </row>
    <row r="85" spans="1:12" s="14" customFormat="1" ht="27" customHeight="1" x14ac:dyDescent="0.4">
      <c r="A85" s="108" t="s">
        <v>53</v>
      </c>
      <c r="B85" s="115">
        <v>165.23</v>
      </c>
      <c r="C85" s="302" t="s">
        <v>111</v>
      </c>
      <c r="D85" s="303"/>
      <c r="E85" s="303"/>
      <c r="F85" s="303"/>
      <c r="G85" s="303"/>
      <c r="H85" s="304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55</v>
      </c>
      <c r="B87" s="120">
        <f>B84/B85</f>
        <v>0.93481813230042976</v>
      </c>
      <c r="C87" s="98" t="s">
        <v>56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57</v>
      </c>
      <c r="B89" s="122">
        <v>100</v>
      </c>
      <c r="D89" s="208" t="s">
        <v>58</v>
      </c>
      <c r="E89" s="209"/>
      <c r="F89" s="305" t="s">
        <v>59</v>
      </c>
      <c r="G89" s="307"/>
    </row>
    <row r="90" spans="1:12" ht="27" customHeight="1" x14ac:dyDescent="0.4">
      <c r="A90" s="123" t="s">
        <v>60</v>
      </c>
      <c r="B90" s="124">
        <v>3</v>
      </c>
      <c r="C90" s="210" t="s">
        <v>61</v>
      </c>
      <c r="D90" s="126" t="s">
        <v>62</v>
      </c>
      <c r="E90" s="127" t="s">
        <v>63</v>
      </c>
      <c r="F90" s="126" t="s">
        <v>62</v>
      </c>
      <c r="G90" s="211" t="s">
        <v>63</v>
      </c>
      <c r="I90" s="129" t="s">
        <v>64</v>
      </c>
    </row>
    <row r="91" spans="1:12" ht="26.25" customHeight="1" x14ac:dyDescent="0.4">
      <c r="A91" s="123" t="s">
        <v>65</v>
      </c>
      <c r="B91" s="124">
        <v>100</v>
      </c>
      <c r="C91" s="212">
        <v>1</v>
      </c>
      <c r="D91" s="131">
        <v>0.64070000000000005</v>
      </c>
      <c r="E91" s="132">
        <f>IF(ISBLANK(D91),"-",$D$101/$D$98*D91)</f>
        <v>0.69432925062335227</v>
      </c>
      <c r="F91" s="131">
        <v>0.67479999999999996</v>
      </c>
      <c r="G91" s="133">
        <f>IF(ISBLANK(F91),"-",$D$101/$F$98*F91)</f>
        <v>0.6952544696516566</v>
      </c>
      <c r="I91" s="134"/>
    </row>
    <row r="92" spans="1:12" ht="26.25" customHeight="1" x14ac:dyDescent="0.4">
      <c r="A92" s="123" t="s">
        <v>66</v>
      </c>
      <c r="B92" s="124">
        <v>1</v>
      </c>
      <c r="C92" s="196">
        <v>2</v>
      </c>
      <c r="D92" s="136">
        <v>0.63870000000000005</v>
      </c>
      <c r="E92" s="137">
        <f>IF(ISBLANK(D92),"-",$D$101/$D$98*D92)</f>
        <v>0.69216184231798827</v>
      </c>
      <c r="F92" s="136">
        <v>0.67469999999999997</v>
      </c>
      <c r="G92" s="138">
        <f>IF(ISBLANK(F92),"-",$D$101/$F$98*F92)</f>
        <v>0.695151438461726</v>
      </c>
      <c r="I92" s="309">
        <f>ABS((F96/D96*D95)-F95)/D95</f>
        <v>3.0311048803452641E-4</v>
      </c>
    </row>
    <row r="93" spans="1:12" ht="26.25" customHeight="1" x14ac:dyDescent="0.4">
      <c r="A93" s="123" t="s">
        <v>67</v>
      </c>
      <c r="B93" s="124">
        <v>1</v>
      </c>
      <c r="C93" s="196">
        <v>3</v>
      </c>
      <c r="D93" s="136">
        <v>0.64100000000000001</v>
      </c>
      <c r="E93" s="137">
        <f>IF(ISBLANK(D93),"-",$D$101/$D$98*D93)</f>
        <v>0.69465436186915686</v>
      </c>
      <c r="F93" s="136">
        <v>0.67100000000000004</v>
      </c>
      <c r="G93" s="138">
        <f>IF(ISBLANK(F93),"-",$D$101/$F$98*F93)</f>
        <v>0.69133928443429404</v>
      </c>
      <c r="I93" s="309"/>
    </row>
    <row r="94" spans="1:12" ht="27" customHeight="1" x14ac:dyDescent="0.4">
      <c r="A94" s="123" t="s">
        <v>68</v>
      </c>
      <c r="B94" s="124">
        <v>1</v>
      </c>
      <c r="C94" s="213">
        <v>4</v>
      </c>
      <c r="D94" s="141"/>
      <c r="E94" s="142"/>
      <c r="F94" s="214"/>
      <c r="G94" s="143"/>
      <c r="I94" s="144"/>
    </row>
    <row r="95" spans="1:12" ht="27" customHeight="1" x14ac:dyDescent="0.4">
      <c r="A95" s="123" t="s">
        <v>69</v>
      </c>
      <c r="B95" s="124">
        <v>1</v>
      </c>
      <c r="C95" s="215" t="s">
        <v>70</v>
      </c>
      <c r="D95" s="216">
        <f>AVERAGE(D91:D94)</f>
        <v>0.64013333333333333</v>
      </c>
      <c r="E95" s="147">
        <f>AVERAGE(E91:E94)</f>
        <v>0.69371515160349917</v>
      </c>
      <c r="F95" s="217">
        <f>AVERAGE(F91:F94)</f>
        <v>0.6735000000000001</v>
      </c>
      <c r="G95" s="218">
        <f>AVERAGE(G91:G94)</f>
        <v>0.69391506418255888</v>
      </c>
    </row>
    <row r="96" spans="1:12" ht="26.25" customHeight="1" x14ac:dyDescent="0.4">
      <c r="A96" s="123" t="s">
        <v>71</v>
      </c>
      <c r="B96" s="109">
        <v>1</v>
      </c>
      <c r="C96" s="219" t="s">
        <v>112</v>
      </c>
      <c r="D96" s="220">
        <v>19.489999999999998</v>
      </c>
      <c r="E96" s="139"/>
      <c r="F96" s="151">
        <v>20.5</v>
      </c>
    </row>
    <row r="97" spans="1:10" ht="26.25" customHeight="1" x14ac:dyDescent="0.4">
      <c r="A97" s="123" t="s">
        <v>73</v>
      </c>
      <c r="B97" s="109">
        <v>1</v>
      </c>
      <c r="C97" s="221" t="s">
        <v>113</v>
      </c>
      <c r="D97" s="222">
        <f>D96*$B$87</f>
        <v>18.219605398535375</v>
      </c>
      <c r="E97" s="154"/>
      <c r="F97" s="153">
        <f>F96*$B$87</f>
        <v>19.163771712158809</v>
      </c>
    </row>
    <row r="98" spans="1:10" ht="19.5" customHeight="1" x14ac:dyDescent="0.3">
      <c r="A98" s="123" t="s">
        <v>75</v>
      </c>
      <c r="B98" s="223">
        <f>(B97/B96)*(B95/B94)*(B93/B92)*(B91/B90)*B89</f>
        <v>3333.3333333333335</v>
      </c>
      <c r="C98" s="221" t="s">
        <v>114</v>
      </c>
      <c r="D98" s="224">
        <f>D97*$B$83/100</f>
        <v>17.088167903286326</v>
      </c>
      <c r="E98" s="157"/>
      <c r="F98" s="156">
        <f>F97*$B$83/100</f>
        <v>17.973701488833743</v>
      </c>
    </row>
    <row r="99" spans="1:10" ht="19.5" customHeight="1" x14ac:dyDescent="0.3">
      <c r="A99" s="310" t="s">
        <v>77</v>
      </c>
      <c r="B99" s="324"/>
      <c r="C99" s="221" t="s">
        <v>115</v>
      </c>
      <c r="D99" s="225">
        <f>D98/$B$98</f>
        <v>5.1264503709858977E-3</v>
      </c>
      <c r="E99" s="157"/>
      <c r="F99" s="160">
        <f>F98/$B$98</f>
        <v>5.3921104466501226E-3</v>
      </c>
      <c r="G99" s="226"/>
      <c r="H99" s="149"/>
    </row>
    <row r="100" spans="1:10" ht="19.5" customHeight="1" x14ac:dyDescent="0.3">
      <c r="A100" s="312"/>
      <c r="B100" s="325"/>
      <c r="C100" s="221" t="s">
        <v>79</v>
      </c>
      <c r="D100" s="227">
        <f>$B$56/$B$116</f>
        <v>5.5555555555555558E-3</v>
      </c>
      <c r="F100" s="165"/>
      <c r="G100" s="228"/>
      <c r="H100" s="149"/>
    </row>
    <row r="101" spans="1:10" ht="18.75" x14ac:dyDescent="0.3">
      <c r="C101" s="221" t="s">
        <v>80</v>
      </c>
      <c r="D101" s="222">
        <f>D100*$B$98</f>
        <v>18.518518518518519</v>
      </c>
      <c r="F101" s="165"/>
      <c r="G101" s="226"/>
      <c r="H101" s="149"/>
    </row>
    <row r="102" spans="1:10" ht="19.5" customHeight="1" x14ac:dyDescent="0.3">
      <c r="C102" s="229" t="s">
        <v>81</v>
      </c>
      <c r="D102" s="230">
        <f>D101/B34</f>
        <v>19.809755372360577</v>
      </c>
      <c r="F102" s="169"/>
      <c r="G102" s="226"/>
      <c r="H102" s="149"/>
      <c r="J102" s="231"/>
    </row>
    <row r="103" spans="1:10" ht="18.75" x14ac:dyDescent="0.3">
      <c r="C103" s="232" t="s">
        <v>116</v>
      </c>
      <c r="D103" s="233">
        <f>AVERAGE(E91:E94,G91:G94)</f>
        <v>0.69381510789302903</v>
      </c>
      <c r="F103" s="169"/>
      <c r="G103" s="234"/>
      <c r="H103" s="149"/>
      <c r="J103" s="235"/>
    </row>
    <row r="104" spans="1:10" ht="18.75" x14ac:dyDescent="0.3">
      <c r="C104" s="199" t="s">
        <v>83</v>
      </c>
      <c r="D104" s="236">
        <f>STDEV(E91:E94,G91:G94)/D103</f>
        <v>2.3848474552488961E-3</v>
      </c>
      <c r="F104" s="169"/>
      <c r="G104" s="226"/>
      <c r="H104" s="149"/>
      <c r="J104" s="235"/>
    </row>
    <row r="105" spans="1:10" ht="19.5" customHeight="1" x14ac:dyDescent="0.3">
      <c r="C105" s="201" t="s">
        <v>19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117</v>
      </c>
      <c r="B107" s="122">
        <v>900</v>
      </c>
      <c r="C107" s="238" t="s">
        <v>118</v>
      </c>
      <c r="D107" s="239" t="s">
        <v>62</v>
      </c>
      <c r="E107" s="240" t="s">
        <v>119</v>
      </c>
      <c r="F107" s="241" t="s">
        <v>120</v>
      </c>
    </row>
    <row r="108" spans="1:10" ht="26.25" customHeight="1" x14ac:dyDescent="0.4">
      <c r="A108" s="123" t="s">
        <v>121</v>
      </c>
      <c r="B108" s="124">
        <v>2</v>
      </c>
      <c r="C108" s="242">
        <v>1</v>
      </c>
      <c r="D108" s="278">
        <v>0.68110000000000004</v>
      </c>
      <c r="E108" s="272">
        <f>IF(ISBLANK(D108),"-",D108/D$103*$D$100*$B$116)</f>
        <v>245.41840911635592</v>
      </c>
      <c r="F108" s="243">
        <f t="shared" ref="F108" si="1">IF(ISBLANK(D108), "-", E108/$B$56)</f>
        <v>0.98167363646542372</v>
      </c>
    </row>
    <row r="109" spans="1:10" ht="26.25" customHeight="1" x14ac:dyDescent="0.4">
      <c r="A109" s="123" t="s">
        <v>94</v>
      </c>
      <c r="B109" s="124">
        <v>100</v>
      </c>
      <c r="C109" s="242">
        <v>2</v>
      </c>
      <c r="D109" s="278">
        <v>0.65720000000000001</v>
      </c>
      <c r="E109" s="273">
        <f>IF(ISBLANK(D109),"-",D109/$D$103*$D$100*$B$116)</f>
        <v>236.80660471482761</v>
      </c>
      <c r="F109" s="244">
        <f>IF(ISBLANK(D109), "-", E109/$B$56)</f>
        <v>0.94722641885931047</v>
      </c>
    </row>
    <row r="110" spans="1:10" ht="26.25" customHeight="1" x14ac:dyDescent="0.4">
      <c r="A110" s="123" t="s">
        <v>95</v>
      </c>
      <c r="B110" s="124">
        <v>1</v>
      </c>
      <c r="C110" s="242">
        <v>3</v>
      </c>
      <c r="D110" s="278">
        <v>0.71089999999999998</v>
      </c>
      <c r="E110" s="273">
        <f t="shared" ref="E110:E113" si="2">IF(ISBLANK(D110),"-",D110/$D$103*$D$100*$B$116)</f>
        <v>256.15614012746647</v>
      </c>
      <c r="F110" s="244">
        <f>IF(ISBLANK(D110), "-", E110/$B$56)</f>
        <v>1.0246245605098658</v>
      </c>
    </row>
    <row r="111" spans="1:10" ht="26.25" customHeight="1" x14ac:dyDescent="0.4">
      <c r="A111" s="123" t="s">
        <v>96</v>
      </c>
      <c r="B111" s="124">
        <v>1</v>
      </c>
      <c r="C111" s="242">
        <v>4</v>
      </c>
      <c r="D111" s="278">
        <v>0.68940000000000001</v>
      </c>
      <c r="E111" s="273">
        <f t="shared" si="2"/>
        <v>248.409119431531</v>
      </c>
      <c r="F111" s="244">
        <f>IF(ISBLANK(D111), "-", E111/$B$56)</f>
        <v>0.99363647772612396</v>
      </c>
    </row>
    <row r="112" spans="1:10" ht="26.25" customHeight="1" x14ac:dyDescent="0.4">
      <c r="A112" s="123" t="s">
        <v>97</v>
      </c>
      <c r="B112" s="124">
        <v>1</v>
      </c>
      <c r="C112" s="242">
        <v>5</v>
      </c>
      <c r="D112" s="278">
        <v>0.66579999999999995</v>
      </c>
      <c r="E112" s="273">
        <f t="shared" si="2"/>
        <v>239.90541299320179</v>
      </c>
      <c r="F112" s="244">
        <f>IF(ISBLANK(D112), "-", E112/$B$56)</f>
        <v>0.95962165197280713</v>
      </c>
    </row>
    <row r="113" spans="1:10" ht="26.25" customHeight="1" x14ac:dyDescent="0.4">
      <c r="A113" s="123" t="s">
        <v>99</v>
      </c>
      <c r="B113" s="124">
        <v>1</v>
      </c>
      <c r="C113" s="245">
        <v>6</v>
      </c>
      <c r="D113" s="279">
        <v>0.67549999999999999</v>
      </c>
      <c r="E113" s="274">
        <f t="shared" si="2"/>
        <v>243.40058046997274</v>
      </c>
      <c r="F113" s="246">
        <f>IF(ISBLANK(D113), "-", E113/$B$56)</f>
        <v>0.97360232187989093</v>
      </c>
    </row>
    <row r="114" spans="1:10" ht="26.25" customHeight="1" x14ac:dyDescent="0.4">
      <c r="A114" s="123" t="s">
        <v>100</v>
      </c>
      <c r="B114" s="124">
        <v>1</v>
      </c>
      <c r="C114" s="242"/>
      <c r="D114" s="196"/>
      <c r="E114" s="97"/>
      <c r="F114" s="247"/>
    </row>
    <row r="115" spans="1:10" ht="26.25" customHeight="1" x14ac:dyDescent="0.4">
      <c r="A115" s="123" t="s">
        <v>101</v>
      </c>
      <c r="B115" s="124">
        <v>1</v>
      </c>
      <c r="C115" s="242"/>
      <c r="D115" s="248" t="s">
        <v>70</v>
      </c>
      <c r="E115" s="276">
        <f>AVERAGE(E108:E113)</f>
        <v>245.01604447555926</v>
      </c>
      <c r="F115" s="249">
        <f>AVERAGE(F108:F113)</f>
        <v>0.9800641779022371</v>
      </c>
    </row>
    <row r="116" spans="1:10" ht="27" customHeight="1" x14ac:dyDescent="0.4">
      <c r="A116" s="123" t="s">
        <v>102</v>
      </c>
      <c r="B116" s="155">
        <f>(B115/B114)*(B113/B112)*(B111/B110)*(B109/B108)*B107</f>
        <v>45000</v>
      </c>
      <c r="C116" s="250"/>
      <c r="D116" s="215" t="s">
        <v>83</v>
      </c>
      <c r="E116" s="251">
        <f>STDEV(E108:E113)/E115</f>
        <v>2.77952527848064E-2</v>
      </c>
      <c r="F116" s="251">
        <f>STDEV(F108:F113)/F115</f>
        <v>2.7795252784806379E-2</v>
      </c>
      <c r="I116" s="97"/>
    </row>
    <row r="117" spans="1:10" ht="27" customHeight="1" x14ac:dyDescent="0.4">
      <c r="A117" s="310" t="s">
        <v>77</v>
      </c>
      <c r="B117" s="311"/>
      <c r="C117" s="252"/>
      <c r="D117" s="253" t="s">
        <v>19</v>
      </c>
      <c r="E117" s="254">
        <f>COUNT(E108:E113)</f>
        <v>6</v>
      </c>
      <c r="F117" s="254">
        <f>COUNT(F108:F113)</f>
        <v>6</v>
      </c>
      <c r="I117" s="97"/>
      <c r="J117" s="235"/>
    </row>
    <row r="118" spans="1:10" ht="19.5" customHeight="1" x14ac:dyDescent="0.3">
      <c r="A118" s="312"/>
      <c r="B118" s="313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3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105</v>
      </c>
      <c r="B120" s="203" t="s">
        <v>122</v>
      </c>
      <c r="C120" s="322" t="str">
        <f>B20</f>
        <v>CIPROFLOXACIN HYDROCHLORIDE U.S.P.</v>
      </c>
      <c r="D120" s="322"/>
      <c r="E120" s="204" t="s">
        <v>123</v>
      </c>
      <c r="F120" s="204"/>
      <c r="G120" s="205">
        <f>F115</f>
        <v>0.9800641779022371</v>
      </c>
      <c r="H120" s="97"/>
      <c r="I120" s="97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323" t="s">
        <v>25</v>
      </c>
      <c r="C122" s="323"/>
      <c r="E122" s="210" t="s">
        <v>26</v>
      </c>
      <c r="F122" s="257"/>
      <c r="G122" s="323" t="s">
        <v>27</v>
      </c>
      <c r="H122" s="323"/>
    </row>
    <row r="123" spans="1:10" ht="45" customHeight="1" x14ac:dyDescent="0.3">
      <c r="A123" s="258" t="s">
        <v>28</v>
      </c>
      <c r="B123" s="259"/>
      <c r="C123" s="259"/>
      <c r="E123" s="259"/>
      <c r="F123" s="97"/>
      <c r="G123" s="260"/>
      <c r="H123" s="260"/>
    </row>
    <row r="124" spans="1:10" ht="37.5" customHeight="1" x14ac:dyDescent="0.3">
      <c r="A124" s="258" t="s">
        <v>29</v>
      </c>
      <c r="B124" s="261"/>
      <c r="C124" s="261"/>
      <c r="E124" s="261"/>
      <c r="F124" s="97"/>
      <c r="G124" s="262"/>
      <c r="H124" s="262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fitToHeight="0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9"/>
  <sheetViews>
    <sheetView topLeftCell="A20" workbookViewId="0">
      <selection activeCell="G47" sqref="G47"/>
    </sheetView>
  </sheetViews>
  <sheetFormatPr defaultRowHeight="12.75" x14ac:dyDescent="0.2"/>
  <sheetData>
    <row r="19" spans="10:10" x14ac:dyDescent="0.2">
      <c r="J19">
        <f>100/100*4/20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CIPROFLOXACIN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2016-03-23T13:15:58Z</cp:lastPrinted>
  <dcterms:created xsi:type="dcterms:W3CDTF">2005-07-05T10:19:27Z</dcterms:created>
  <dcterms:modified xsi:type="dcterms:W3CDTF">2016-03-23T13:18:30Z</dcterms:modified>
</cp:coreProperties>
</file>