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firstSheet="2" activeTab="7"/>
  </bookViews>
  <sheets>
    <sheet name="SST (DISS) (2)" sheetId="8" r:id="rId1"/>
    <sheet name="SST (ASSAY)" sheetId="5" r:id="rId2"/>
    <sheet name="SST (DISS)" sheetId="6" r:id="rId3"/>
    <sheet name="Uniformity" sheetId="2" r:id="rId4"/>
    <sheet name="amoxicillin Trihydrate" sheetId="9" r:id="rId5"/>
    <sheet name="Clavulanic acid" sheetId="10" r:id="rId6"/>
    <sheet name="amoxicillin Trihydrate 2" sheetId="3" r:id="rId7"/>
    <sheet name="Clavulanic acid 2" sheetId="4" r:id="rId8"/>
    <sheet name="Sheet1" sheetId="7" r:id="rId9"/>
  </sheets>
  <externalReferences>
    <externalReference r:id="rId10"/>
  </externalReferences>
  <definedNames>
    <definedName name="_xlnm.Print_Area" localSheetId="4">'amoxicillin Trihydrate'!$A$1:$N$124</definedName>
    <definedName name="_xlnm.Print_Area" localSheetId="6">'amoxicillin Trihydrate 2'!$A$1:$H$124</definedName>
    <definedName name="_xlnm.Print_Area" localSheetId="5">'Clavulanic acid'!$A$1:$N$124</definedName>
    <definedName name="_xlnm.Print_Area" localSheetId="7">'Clavulanic acid 2'!$A$1:$H$124</definedName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H117" i="4" l="1"/>
  <c r="H116" i="4"/>
  <c r="H115" i="4"/>
  <c r="H117" i="3"/>
  <c r="H116" i="3"/>
  <c r="H115" i="3"/>
  <c r="C120" i="10"/>
  <c r="B116" i="10"/>
  <c r="D100" i="10"/>
  <c r="D101" i="10" s="1"/>
  <c r="B98" i="10"/>
  <c r="F97" i="10"/>
  <c r="F98" i="10" s="1"/>
  <c r="F99" i="10" s="1"/>
  <c r="F95" i="10"/>
  <c r="D95" i="10"/>
  <c r="G94" i="10"/>
  <c r="E94" i="10"/>
  <c r="I92" i="10"/>
  <c r="B87" i="10"/>
  <c r="D97" i="10" s="1"/>
  <c r="D98" i="10" s="1"/>
  <c r="D99" i="10" s="1"/>
  <c r="B83" i="10"/>
  <c r="B80" i="10"/>
  <c r="B79" i="10"/>
  <c r="C76" i="10"/>
  <c r="H71" i="10"/>
  <c r="G71" i="10"/>
  <c r="B68" i="10"/>
  <c r="B69" i="10" s="1"/>
  <c r="H67" i="10"/>
  <c r="G67" i="10"/>
  <c r="H63" i="10"/>
  <c r="G63" i="10"/>
  <c r="B57" i="10"/>
  <c r="C56" i="10"/>
  <c r="B55" i="10"/>
  <c r="D48" i="10"/>
  <c r="G39" i="10" s="1"/>
  <c r="B45" i="10"/>
  <c r="F44" i="10"/>
  <c r="F45" i="10" s="1"/>
  <c r="F42" i="10"/>
  <c r="D42" i="10"/>
  <c r="G41" i="10"/>
  <c r="E41" i="10"/>
  <c r="I39" i="10"/>
  <c r="B34" i="10"/>
  <c r="D44" i="10" s="1"/>
  <c r="D45" i="10" s="1"/>
  <c r="B30" i="10"/>
  <c r="C120" i="9"/>
  <c r="B116" i="9"/>
  <c r="D100" i="9"/>
  <c r="B98" i="9"/>
  <c r="D101" i="9" s="1"/>
  <c r="F95" i="9"/>
  <c r="D95" i="9"/>
  <c r="I92" i="9" s="1"/>
  <c r="G94" i="9"/>
  <c r="E94" i="9"/>
  <c r="B87" i="9"/>
  <c r="F97" i="9" s="1"/>
  <c r="F98" i="9" s="1"/>
  <c r="F99" i="9" s="1"/>
  <c r="B81" i="9"/>
  <c r="B83" i="9" s="1"/>
  <c r="B80" i="9"/>
  <c r="B79" i="9"/>
  <c r="C76" i="9"/>
  <c r="H71" i="9"/>
  <c r="G71" i="9"/>
  <c r="B68" i="9"/>
  <c r="B69" i="9" s="1"/>
  <c r="H67" i="9"/>
  <c r="G67" i="9"/>
  <c r="H63" i="9"/>
  <c r="G63" i="9"/>
  <c r="B57" i="9"/>
  <c r="C56" i="9"/>
  <c r="B55" i="9"/>
  <c r="D48" i="9"/>
  <c r="G39" i="9" s="1"/>
  <c r="B45" i="9"/>
  <c r="F44" i="9"/>
  <c r="F45" i="9" s="1"/>
  <c r="F42" i="9"/>
  <c r="D42" i="9"/>
  <c r="G41" i="9"/>
  <c r="E41" i="9"/>
  <c r="I39" i="9"/>
  <c r="B34" i="9"/>
  <c r="D44" i="9" s="1"/>
  <c r="D45" i="9" s="1"/>
  <c r="B30" i="9"/>
  <c r="D46" i="9" l="1"/>
  <c r="E39" i="9"/>
  <c r="E38" i="9"/>
  <c r="G92" i="9"/>
  <c r="D102" i="9"/>
  <c r="G93" i="9"/>
  <c r="G91" i="9"/>
  <c r="D102" i="10"/>
  <c r="G93" i="10"/>
  <c r="E92" i="10"/>
  <c r="E93" i="10"/>
  <c r="G91" i="10"/>
  <c r="G95" i="10" s="1"/>
  <c r="E91" i="10"/>
  <c r="G92" i="10"/>
  <c r="D46" i="10"/>
  <c r="E39" i="10"/>
  <c r="E38" i="10"/>
  <c r="F46" i="10"/>
  <c r="G40" i="10"/>
  <c r="F46" i="9"/>
  <c r="G40" i="9"/>
  <c r="D97" i="9"/>
  <c r="D98" i="9" s="1"/>
  <c r="D99" i="9" s="1"/>
  <c r="G38" i="9"/>
  <c r="G42" i="9" s="1"/>
  <c r="E40" i="9"/>
  <c r="D49" i="9"/>
  <c r="G38" i="10"/>
  <c r="E40" i="10"/>
  <c r="D49" i="10"/>
  <c r="G95" i="9" l="1"/>
  <c r="D52" i="10"/>
  <c r="D50" i="10"/>
  <c r="E42" i="10"/>
  <c r="E95" i="10"/>
  <c r="D105" i="10"/>
  <c r="D103" i="10"/>
  <c r="E92" i="9"/>
  <c r="E91" i="9"/>
  <c r="D50" i="9"/>
  <c r="E42" i="9"/>
  <c r="D52" i="9"/>
  <c r="G42" i="10"/>
  <c r="E93" i="9"/>
  <c r="E112" i="10" l="1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D51" i="9"/>
  <c r="G70" i="9"/>
  <c r="H70" i="9" s="1"/>
  <c r="G65" i="9"/>
  <c r="H65" i="9" s="1"/>
  <c r="G61" i="9"/>
  <c r="H61" i="9" s="1"/>
  <c r="G68" i="9"/>
  <c r="H68" i="9" s="1"/>
  <c r="G69" i="9"/>
  <c r="H69" i="9" s="1"/>
  <c r="G66" i="9"/>
  <c r="H66" i="9" s="1"/>
  <c r="G64" i="9"/>
  <c r="H64" i="9" s="1"/>
  <c r="G62" i="9"/>
  <c r="H62" i="9" s="1"/>
  <c r="G60" i="9"/>
  <c r="G69" i="10"/>
  <c r="H69" i="10" s="1"/>
  <c r="G66" i="10"/>
  <c r="H66" i="10" s="1"/>
  <c r="G64" i="10"/>
  <c r="H64" i="10" s="1"/>
  <c r="G62" i="10"/>
  <c r="H62" i="10" s="1"/>
  <c r="G60" i="10"/>
  <c r="D51" i="10"/>
  <c r="G70" i="10"/>
  <c r="H70" i="10" s="1"/>
  <c r="G65" i="10"/>
  <c r="H65" i="10" s="1"/>
  <c r="G61" i="10"/>
  <c r="H61" i="10" s="1"/>
  <c r="G68" i="10"/>
  <c r="H68" i="10" s="1"/>
  <c r="D103" i="9"/>
  <c r="E95" i="9"/>
  <c r="D105" i="9"/>
  <c r="E113" i="9" l="1"/>
  <c r="F113" i="9" s="1"/>
  <c r="E111" i="9"/>
  <c r="F111" i="9" s="1"/>
  <c r="E109" i="9"/>
  <c r="F109" i="9" s="1"/>
  <c r="D104" i="9"/>
  <c r="E112" i="9"/>
  <c r="F112" i="9" s="1"/>
  <c r="E110" i="9"/>
  <c r="F110" i="9" s="1"/>
  <c r="E108" i="9"/>
  <c r="E115" i="10"/>
  <c r="E116" i="10" s="1"/>
  <c r="E117" i="10"/>
  <c r="F108" i="10"/>
  <c r="G74" i="10"/>
  <c r="G72" i="10"/>
  <c r="G73" i="10" s="1"/>
  <c r="H60" i="10"/>
  <c r="G74" i="9"/>
  <c r="G72" i="9"/>
  <c r="G73" i="9" s="1"/>
  <c r="H60" i="9"/>
  <c r="H74" i="9" l="1"/>
  <c r="H72" i="9"/>
  <c r="E117" i="9"/>
  <c r="F108" i="9"/>
  <c r="E115" i="9"/>
  <c r="E116" i="9" s="1"/>
  <c r="F117" i="10"/>
  <c r="F115" i="10"/>
  <c r="H74" i="10"/>
  <c r="H72" i="10"/>
  <c r="F117" i="9" l="1"/>
  <c r="F115" i="9"/>
  <c r="G120" i="10"/>
  <c r="F116" i="10"/>
  <c r="G76" i="9"/>
  <c r="H73" i="9"/>
  <c r="G76" i="10"/>
  <c r="H73" i="10"/>
  <c r="G120" i="9" l="1"/>
  <c r="F116" i="9"/>
  <c r="B15" i="7" l="1"/>
  <c r="D15" i="7"/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53" i="5"/>
  <c r="E51" i="5"/>
  <c r="D51" i="5"/>
  <c r="C51" i="5"/>
  <c r="B51" i="5"/>
  <c r="B52" i="5" s="1"/>
  <c r="B32" i="5"/>
  <c r="E30" i="5"/>
  <c r="D30" i="5"/>
  <c r="C30" i="5"/>
  <c r="B30" i="5"/>
  <c r="B31" i="5" s="1"/>
  <c r="G76" i="3" l="1"/>
  <c r="G73" i="3"/>
  <c r="H64" i="3"/>
  <c r="H65" i="3"/>
  <c r="H66" i="3"/>
  <c r="B83" i="4" l="1"/>
  <c r="B69" i="3" l="1"/>
  <c r="C120" i="4"/>
  <c r="B116" i="4"/>
  <c r="D100" i="4"/>
  <c r="B98" i="4"/>
  <c r="F95" i="4"/>
  <c r="D95" i="4"/>
  <c r="B87" i="4"/>
  <c r="F97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/>
  <c r="B98" i="3"/>
  <c r="D97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D49" i="2"/>
  <c r="C46" i="2"/>
  <c r="D50" i="2" s="1"/>
  <c r="C45" i="2"/>
  <c r="D40" i="2"/>
  <c r="D36" i="2"/>
  <c r="D32" i="2"/>
  <c r="D28" i="2"/>
  <c r="D24" i="2"/>
  <c r="C19" i="2"/>
  <c r="I92" i="3" l="1"/>
  <c r="I92" i="4"/>
  <c r="D101" i="4"/>
  <c r="D102" i="4" s="1"/>
  <c r="D97" i="4"/>
  <c r="D98" i="4" s="1"/>
  <c r="D101" i="3"/>
  <c r="D102" i="3" s="1"/>
  <c r="I39" i="4"/>
  <c r="D45" i="3"/>
  <c r="D46" i="3" s="1"/>
  <c r="I39" i="3"/>
  <c r="D49" i="4"/>
  <c r="D45" i="4"/>
  <c r="E40" i="4" s="1"/>
  <c r="B69" i="4"/>
  <c r="D98" i="3"/>
  <c r="E91" i="3" s="1"/>
  <c r="F98" i="4"/>
  <c r="D49" i="3"/>
  <c r="G41" i="3"/>
  <c r="E41" i="3"/>
  <c r="E39" i="3"/>
  <c r="F98" i="3"/>
  <c r="G94" i="3" s="1"/>
  <c r="D25" i="2"/>
  <c r="D33" i="2"/>
  <c r="D41" i="2"/>
  <c r="D27" i="2"/>
  <c r="D31" i="2"/>
  <c r="D35" i="2"/>
  <c r="D39" i="2"/>
  <c r="D43" i="2"/>
  <c r="C49" i="2"/>
  <c r="F44" i="3"/>
  <c r="F45" i="3" s="1"/>
  <c r="F46" i="3" s="1"/>
  <c r="E94" i="3"/>
  <c r="E39" i="4"/>
  <c r="F44" i="4"/>
  <c r="F45" i="4" s="1"/>
  <c r="G39" i="4" s="1"/>
  <c r="B57" i="3"/>
  <c r="E41" i="4"/>
  <c r="B57" i="4"/>
  <c r="D29" i="2"/>
  <c r="D37" i="2"/>
  <c r="C50" i="2"/>
  <c r="D26" i="2"/>
  <c r="D30" i="2"/>
  <c r="D34" i="2"/>
  <c r="D38" i="2"/>
  <c r="D42" i="2"/>
  <c r="B49" i="2"/>
  <c r="G93" i="4" l="1"/>
  <c r="E91" i="4"/>
  <c r="G92" i="3"/>
  <c r="E92" i="3"/>
  <c r="G92" i="4"/>
  <c r="G93" i="3"/>
  <c r="D46" i="4"/>
  <c r="E38" i="4"/>
  <c r="E42" i="4"/>
  <c r="E38" i="3"/>
  <c r="E40" i="3"/>
  <c r="E94" i="4"/>
  <c r="E92" i="4"/>
  <c r="G38" i="4"/>
  <c r="G91" i="4"/>
  <c r="F99" i="4"/>
  <c r="G41" i="4"/>
  <c r="F46" i="4"/>
  <c r="G40" i="3"/>
  <c r="G38" i="3"/>
  <c r="D99" i="3"/>
  <c r="E93" i="3"/>
  <c r="G40" i="4"/>
  <c r="G91" i="3"/>
  <c r="F99" i="3"/>
  <c r="G39" i="3"/>
  <c r="G94" i="4"/>
  <c r="D99" i="4"/>
  <c r="E93" i="4"/>
  <c r="E95" i="3" l="1"/>
  <c r="G95" i="3"/>
  <c r="G42" i="4"/>
  <c r="D50" i="3"/>
  <c r="G62" i="3" s="1"/>
  <c r="H62" i="3" s="1"/>
  <c r="E42" i="3"/>
  <c r="G42" i="3"/>
  <c r="D103" i="3"/>
  <c r="E110" i="3" s="1"/>
  <c r="F110" i="3" s="1"/>
  <c r="D105" i="3"/>
  <c r="D52" i="3"/>
  <c r="E95" i="4"/>
  <c r="D105" i="4"/>
  <c r="D52" i="4"/>
  <c r="G95" i="4"/>
  <c r="D103" i="4"/>
  <c r="E112" i="4" s="1"/>
  <c r="F112" i="4" s="1"/>
  <c r="D50" i="4"/>
  <c r="G71" i="4" s="1"/>
  <c r="H71" i="4" s="1"/>
  <c r="G68" i="3"/>
  <c r="G66" i="3"/>
  <c r="G67" i="3"/>
  <c r="H67" i="3" s="1"/>
  <c r="G63" i="3"/>
  <c r="H63" i="3" s="1"/>
  <c r="G71" i="3"/>
  <c r="H71" i="3" s="1"/>
  <c r="D104" i="4" l="1"/>
  <c r="E109" i="4"/>
  <c r="F109" i="4" s="1"/>
  <c r="E113" i="4"/>
  <c r="F113" i="4" s="1"/>
  <c r="D104" i="3"/>
  <c r="E111" i="3"/>
  <c r="F111" i="3" s="1"/>
  <c r="E113" i="3"/>
  <c r="F113" i="3" s="1"/>
  <c r="E112" i="3"/>
  <c r="F112" i="3" s="1"/>
  <c r="E108" i="3"/>
  <c r="F108" i="3" s="1"/>
  <c r="G65" i="3"/>
  <c r="G64" i="3"/>
  <c r="D51" i="3"/>
  <c r="E110" i="4"/>
  <c r="F110" i="4" s="1"/>
  <c r="G61" i="3"/>
  <c r="G60" i="3"/>
  <c r="H60" i="3" s="1"/>
  <c r="G70" i="3"/>
  <c r="G69" i="3"/>
  <c r="E109" i="3"/>
  <c r="F109" i="3" s="1"/>
  <c r="E108" i="4"/>
  <c r="F108" i="4" s="1"/>
  <c r="D51" i="4"/>
  <c r="G68" i="4"/>
  <c r="H68" i="4" s="1"/>
  <c r="G70" i="4"/>
  <c r="H70" i="4" s="1"/>
  <c r="G61" i="4"/>
  <c r="H61" i="4" s="1"/>
  <c r="G64" i="4"/>
  <c r="H64" i="4" s="1"/>
  <c r="G63" i="4"/>
  <c r="H63" i="4" s="1"/>
  <c r="G66" i="4"/>
  <c r="H66" i="4" s="1"/>
  <c r="G65" i="4"/>
  <c r="H65" i="4" s="1"/>
  <c r="G60" i="4"/>
  <c r="G69" i="4"/>
  <c r="H69" i="4" s="1"/>
  <c r="E111" i="4"/>
  <c r="F111" i="4" s="1"/>
  <c r="G67" i="4"/>
  <c r="H67" i="4" s="1"/>
  <c r="G62" i="4"/>
  <c r="H62" i="4" s="1"/>
  <c r="F115" i="4" l="1"/>
  <c r="G120" i="4" s="1"/>
  <c r="E117" i="4"/>
  <c r="G74" i="3"/>
  <c r="E117" i="3"/>
  <c r="G72" i="3"/>
  <c r="E115" i="3"/>
  <c r="E116" i="3" s="1"/>
  <c r="G74" i="4"/>
  <c r="G72" i="4"/>
  <c r="G73" i="4" s="1"/>
  <c r="H60" i="4"/>
  <c r="H74" i="4" s="1"/>
  <c r="E115" i="4"/>
  <c r="E116" i="4" s="1"/>
  <c r="H74" i="3"/>
  <c r="H72" i="3"/>
  <c r="F117" i="3"/>
  <c r="F115" i="3"/>
  <c r="F117" i="4"/>
  <c r="H72" i="4" l="1"/>
  <c r="G76" i="4" s="1"/>
  <c r="F116" i="4"/>
  <c r="G120" i="3"/>
  <c r="F116" i="3"/>
  <c r="H73" i="3"/>
  <c r="H73" i="4" l="1"/>
</calcChain>
</file>

<file path=xl/sharedStrings.xml><?xml version="1.0" encoding="utf-8"?>
<sst xmlns="http://schemas.openxmlformats.org/spreadsheetml/2006/main" count="818" uniqueCount="135">
  <si>
    <t>HPLC System Suitability Report</t>
  </si>
  <si>
    <t>Analysis Data</t>
  </si>
  <si>
    <t>Sample(s)</t>
  </si>
  <si>
    <t>Reference Substance:</t>
  </si>
  <si>
    <t>BACTOCLAV-375</t>
  </si>
  <si>
    <t>% age Purity:</t>
  </si>
  <si>
    <t>NDQD201509363</t>
  </si>
  <si>
    <t>Weight (mg):</t>
  </si>
  <si>
    <t>Amoxicillin &amp; Clavulanic Acid</t>
  </si>
  <si>
    <t>Standard Conc (mg/mL):</t>
  </si>
  <si>
    <t>Each film coate tablet contains: Amoxicillin Trihydrate BP Eq. to Amoxicillin 250mg (as Potassium Clavulanate Diluted BP) Eq. to Clavulanic acid 125mg</t>
  </si>
  <si>
    <t>2015-10-02 08:16:52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</si>
  <si>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</si>
  <si>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</si>
  <si>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</si>
  <si>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</si>
  <si>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</si>
  <si>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</si>
  <si>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</si>
  <si>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</si>
  <si>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</si>
  <si>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</si>
  <si>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</si>
  <si>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</si>
  <si>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</si>
  <si>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</si>
  <si>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</si>
  <si>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</si>
  <si>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</si>
  <si>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</si>
  <si>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</si>
  <si>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</si>
  <si>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</si>
  <si>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</si>
  <si>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</si>
  <si>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</si>
  <si>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</si>
  <si>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</si>
  <si>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</si>
  <si>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</si>
  <si>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</si>
  <si>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</si>
  <si>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</si>
  <si>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</si>
  <si>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</si>
  <si>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</si>
  <si>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</si>
  <si>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</si>
  <si>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</si>
  <si>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</si>
  <si>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</si>
  <si>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</si>
  <si>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</si>
  <si>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</si>
  <si>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</si>
  <si>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</si>
  <si>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</si>
  <si>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</si>
  <si>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</si>
  <si>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</si>
  <si>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</si>
  <si>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</si>
  <si>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</si>
  <si>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</si>
  <si>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</si>
  <si>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</si>
  <si>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</si>
  <si>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</si>
  <si>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</si>
  <si>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</si>
  <si>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</si>
  <si>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</si>
  <si>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</si>
  <si>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</si>
  <si>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</si>
  <si>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</si>
  <si>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</si>
  <si>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</si>
  <si>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</si>
  <si>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</si>
  <si>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</si>
  <si>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</si>
  <si>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</si>
  <si>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</si>
  <si>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</si>
  <si>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</si>
  <si>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</si>
  <si>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</si>
  <si>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</si>
  <si>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</si>
  <si>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</si>
  <si>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</si>
  <si>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</si>
  <si>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</si>
  <si>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</si>
  <si>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</si>
  <si>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</si>
  <si>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</si>
  <si>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</si>
  <si>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</si>
  <si>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</si>
  <si>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</si>
  <si>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</si>
  <si>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</si>
  <si>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</si>
  <si>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</si>
  <si>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</si>
  <si>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</si>
  <si>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</si>
  <si>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</si>
  <si>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</si>
  <si>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</si>
  <si>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</si>
  <si>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</si>
  <si>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</si>
  <si>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</si>
  <si>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</si>
  <si>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</si>
  <si>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</si>
  <si>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</si>
  <si>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</si>
  <si>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</si>
  <si>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</si>
  <si>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</si>
  <si>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Amoxicillin</t>
  </si>
  <si>
    <t>CLAVULANIC</t>
  </si>
  <si>
    <t>ASSAY CLAVULANIC LITHIUM</t>
  </si>
  <si>
    <t>CLAVULANIC LITHIUM</t>
  </si>
  <si>
    <t>ASSAY</t>
  </si>
  <si>
    <t>DISSOLUTION- CLAVULANIC LITHIUM</t>
  </si>
  <si>
    <t>9652..2</t>
  </si>
  <si>
    <t>Clavulanic acid</t>
  </si>
  <si>
    <t>S2</t>
  </si>
  <si>
    <t>AMOXICILLIN</t>
  </si>
  <si>
    <t>CLAVULANIC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</si>
</sst>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4" fillId="2" borderId="0"/>
    <xf numFmtId="0" fontId="24" fillId="2" borderId="0"/>
  </cellStyleXfs>
  <cellXfs count="93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25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6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6" fillId="2" borderId="0" xfId="1" applyFont="1" applyFill="1"/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7" fillId="3" borderId="5" xfId="1" applyFont="1" applyFill="1" applyBorder="1" applyAlignment="1" applyProtection="1">
      <alignment horizontal="center"/>
      <protection locked="0"/>
    </xf>
    <xf numFmtId="0" fontId="4" fillId="2" borderId="0" xfId="1" applyFont="1" applyFill="1" applyAlignment="1">
      <alignment horizontal="left"/>
    </xf>
    <xf numFmtId="10" fontId="0" fillId="2" borderId="0" xfId="0" applyNumberFormat="1" applyFill="1"/>
    <xf numFmtId="10" fontId="0" fillId="2" borderId="62" xfId="0" applyNumberFormat="1" applyFill="1" applyBorder="1"/>
    <xf numFmtId="10" fontId="0" fillId="2" borderId="0" xfId="0" applyNumberFormat="1" applyFill="1" applyBorder="1"/>
    <xf numFmtId="10" fontId="0" fillId="2" borderId="63" xfId="0" applyNumberFormat="1" applyFill="1" applyBorder="1"/>
    <xf numFmtId="0" fontId="0" fillId="8" borderId="59" xfId="0" applyFill="1" applyBorder="1"/>
    <xf numFmtId="0" fontId="0" fillId="8" borderId="61" xfId="0" applyFill="1" applyBorder="1"/>
    <xf numFmtId="0" fontId="0" fillId="8" borderId="60" xfId="0" applyFill="1" applyBorder="1"/>
    <xf numFmtId="10" fontId="0" fillId="8" borderId="64" xfId="0" applyNumberFormat="1" applyFill="1" applyBorder="1"/>
    <xf numFmtId="0" fontId="0" fillId="8" borderId="66" xfId="0" applyFill="1" applyBorder="1"/>
    <xf numFmtId="10" fontId="0" fillId="8" borderId="65" xfId="0" applyNumberFormat="1" applyFill="1" applyBorder="1"/>
    <xf numFmtId="0" fontId="28" fillId="2" borderId="0" xfId="0" applyFont="1" applyFill="1"/>
    <xf numFmtId="0" fontId="28" fillId="2" borderId="67" xfId="0" applyFont="1" applyFill="1" applyBorder="1"/>
    <xf numFmtId="0" fontId="28" fillId="2" borderId="68" xfId="0" applyFont="1" applyFill="1" applyBorder="1"/>
    <xf numFmtId="0" fontId="28" fillId="2" borderId="69" xfId="0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9" fillId="2" borderId="0" xfId="0" applyFont="1" applyFill="1"/>
    <xf numFmtId="2" fontId="30" fillId="7" borderId="27" xfId="0" applyNumberFormat="1" applyFont="1" applyFill="1" applyBorder="1" applyAlignment="1">
      <alignment horizontal="center"/>
    </xf>
    <xf numFmtId="171" fontId="31" fillId="2" borderId="2" xfId="0" applyNumberFormat="1" applyFont="1" applyFill="1" applyBorder="1" applyAlignment="1">
      <alignment horizontal="right"/>
    </xf>
    <xf numFmtId="10" fontId="30" fillId="7" borderId="27" xfId="0" applyNumberFormat="1" applyFont="1" applyFill="1" applyBorder="1" applyAlignment="1">
      <alignment horizontal="center"/>
    </xf>
    <xf numFmtId="0" fontId="31" fillId="2" borderId="0" xfId="0" applyFont="1" applyFill="1" applyAlignment="1">
      <alignment horizontal="right"/>
    </xf>
    <xf numFmtId="165" fontId="30" fillId="6" borderId="27" xfId="0" applyNumberFormat="1" applyFont="1" applyFill="1" applyBorder="1" applyAlignment="1">
      <alignment horizontal="center"/>
    </xf>
    <xf numFmtId="0" fontId="31" fillId="2" borderId="56" xfId="0" applyFont="1" applyFill="1" applyBorder="1" applyAlignment="1">
      <alignment horizontal="right"/>
    </xf>
    <xf numFmtId="0" fontId="30" fillId="7" borderId="17" xfId="0" applyFont="1" applyFill="1" applyBorder="1" applyAlignment="1">
      <alignment horizontal="center"/>
    </xf>
    <xf numFmtId="0" fontId="21" fillId="2" borderId="0" xfId="2" applyFont="1" applyFill="1" applyAlignment="1">
      <alignment horizontal="center" vertical="center"/>
    </xf>
    <xf numFmtId="0" fontId="2" fillId="2" borderId="0" xfId="2" applyFont="1" applyFill="1"/>
    <xf numFmtId="0" fontId="22" fillId="2" borderId="0" xfId="2" applyFont="1" applyFill="1" applyAlignment="1">
      <alignment horizontal="center" vertical="center"/>
    </xf>
    <xf numFmtId="0" fontId="11" fillId="2" borderId="0" xfId="2" applyFont="1" applyFill="1"/>
    <xf numFmtId="0" fontId="19" fillId="2" borderId="18" xfId="2" applyFont="1" applyFill="1" applyBorder="1" applyAlignment="1">
      <alignment horizontal="center"/>
    </xf>
    <xf numFmtId="0" fontId="19" fillId="2" borderId="19" xfId="2" applyFont="1" applyFill="1" applyBorder="1" applyAlignment="1">
      <alignment horizontal="center"/>
    </xf>
    <xf numFmtId="0" fontId="19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24" fillId="2" borderId="0" xfId="2" applyFill="1"/>
    <xf numFmtId="0" fontId="12" fillId="2" borderId="0" xfId="2" applyFont="1" applyFill="1"/>
    <xf numFmtId="0" fontId="13" fillId="3" borderId="0" xfId="2" applyFont="1" applyFill="1" applyAlignment="1" applyProtection="1">
      <alignment horizontal="left" wrapText="1"/>
      <protection locked="0"/>
    </xf>
    <xf numFmtId="0" fontId="13" fillId="2" borderId="0" xfId="2" applyFont="1" applyFill="1" applyAlignment="1" applyProtection="1">
      <alignment horizontal="right"/>
      <protection locked="0"/>
    </xf>
    <xf numFmtId="0" fontId="13" fillId="2" borderId="0" xfId="2" applyFont="1" applyFill="1" applyAlignment="1" applyProtection="1">
      <alignment horizontal="left"/>
      <protection locked="0"/>
    </xf>
    <xf numFmtId="0" fontId="14" fillId="2" borderId="0" xfId="2" applyFont="1" applyFill="1"/>
    <xf numFmtId="0" fontId="14" fillId="3" borderId="0" xfId="2" applyFont="1" applyFill="1" applyAlignment="1" applyProtection="1">
      <alignment horizontal="left"/>
      <protection locked="0"/>
    </xf>
    <xf numFmtId="0" fontId="14" fillId="3" borderId="0" xfId="2" applyFont="1" applyFill="1" applyAlignment="1" applyProtection="1">
      <alignment horizontal="left" wrapText="1"/>
      <protection locked="0"/>
    </xf>
    <xf numFmtId="0" fontId="11" fillId="3" borderId="0" xfId="2" applyFont="1" applyFill="1" applyProtection="1">
      <protection locked="0"/>
    </xf>
    <xf numFmtId="168" fontId="14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2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4" fillId="3" borderId="0" xfId="2" applyFont="1" applyFill="1" applyAlignment="1" applyProtection="1">
      <alignment horizontal="left"/>
      <protection locked="0"/>
    </xf>
    <xf numFmtId="0" fontId="13" fillId="3" borderId="0" xfId="2" applyFont="1" applyFill="1" applyAlignment="1" applyProtection="1">
      <alignment horizontal="center"/>
      <protection locked="0"/>
    </xf>
    <xf numFmtId="0" fontId="14" fillId="3" borderId="0" xfId="2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justify" vertical="center" wrapText="1"/>
    </xf>
    <xf numFmtId="0" fontId="19" fillId="2" borderId="19" xfId="2" applyFont="1" applyFill="1" applyBorder="1" applyAlignment="1">
      <alignment horizontal="justify" vertical="center" wrapText="1"/>
    </xf>
    <xf numFmtId="0" fontId="19" fillId="2" borderId="20" xfId="2" applyFont="1" applyFill="1" applyBorder="1" applyAlignment="1">
      <alignment horizontal="justify" vertical="center" wrapText="1"/>
    </xf>
    <xf numFmtId="0" fontId="5" fillId="2" borderId="1" xfId="2" applyFont="1" applyFill="1" applyBorder="1" applyAlignment="1">
      <alignment horizontal="center"/>
    </xf>
    <xf numFmtId="0" fontId="15" fillId="2" borderId="0" xfId="2" applyFont="1" applyFill="1" applyAlignment="1">
      <alignment vertical="center" wrapText="1"/>
    </xf>
    <xf numFmtId="0" fontId="12" fillId="2" borderId="0" xfId="2" applyFont="1" applyFill="1" applyAlignment="1">
      <alignment horizontal="center"/>
    </xf>
    <xf numFmtId="0" fontId="16" fillId="2" borderId="0" xfId="2" applyFont="1" applyFill="1"/>
    <xf numFmtId="0" fontId="17" fillId="2" borderId="0" xfId="2" applyFont="1" applyFill="1"/>
    <xf numFmtId="2" fontId="13" fillId="3" borderId="0" xfId="2" applyNumberFormat="1" applyFont="1" applyFill="1" applyAlignment="1" applyProtection="1">
      <alignment horizontal="center"/>
      <protection locked="0"/>
    </xf>
    <xf numFmtId="0" fontId="19" fillId="2" borderId="18" xfId="2" applyFont="1" applyFill="1" applyBorder="1" applyAlignment="1">
      <alignment horizontal="left" vertical="center" wrapText="1"/>
    </xf>
    <xf numFmtId="0" fontId="19" fillId="2" borderId="19" xfId="2" applyFont="1" applyFill="1" applyBorder="1" applyAlignment="1">
      <alignment horizontal="left" vertical="center" wrapText="1"/>
    </xf>
    <xf numFmtId="0" fontId="19" fillId="2" borderId="20" xfId="2" applyFont="1" applyFill="1" applyBorder="1" applyAlignment="1">
      <alignment horizontal="left" vertical="center" wrapText="1"/>
    </xf>
    <xf numFmtId="0" fontId="12" fillId="2" borderId="0" xfId="2" applyFont="1" applyFill="1" applyAlignment="1">
      <alignment vertical="center" wrapText="1"/>
    </xf>
    <xf numFmtId="0" fontId="18" fillId="2" borderId="0" xfId="2" applyFont="1" applyFill="1"/>
    <xf numFmtId="2" fontId="12" fillId="2" borderId="0" xfId="2" applyNumberFormat="1" applyFont="1" applyFill="1" applyAlignment="1">
      <alignment horizontal="center"/>
    </xf>
    <xf numFmtId="0" fontId="19" fillId="2" borderId="0" xfId="2" applyFont="1" applyFill="1" applyAlignment="1">
      <alignment horizontal="left" vertical="center" wrapText="1"/>
    </xf>
    <xf numFmtId="170" fontId="12" fillId="2" borderId="0" xfId="2" applyNumberFormat="1" applyFont="1" applyFill="1" applyAlignment="1">
      <alignment horizontal="center"/>
    </xf>
    <xf numFmtId="0" fontId="11" fillId="2" borderId="21" xfId="2" applyFont="1" applyFill="1" applyBorder="1" applyAlignment="1">
      <alignment horizontal="right"/>
    </xf>
    <xf numFmtId="0" fontId="13" fillId="3" borderId="22" xfId="2" applyFont="1" applyFill="1" applyBorder="1" applyAlignment="1" applyProtection="1">
      <alignment horizontal="center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58" xfId="2" applyFont="1" applyFill="1" applyBorder="1" applyAlignment="1">
      <alignment horizontal="center"/>
    </xf>
    <xf numFmtId="0" fontId="11" fillId="2" borderId="23" xfId="2" applyFont="1" applyFill="1" applyBorder="1" applyAlignment="1">
      <alignment horizontal="right"/>
    </xf>
    <xf numFmtId="0" fontId="13" fillId="3" borderId="24" xfId="2" applyFont="1" applyFill="1" applyBorder="1" applyAlignment="1" applyProtection="1">
      <alignment horizontal="center"/>
      <protection locked="0"/>
    </xf>
    <xf numFmtId="0" fontId="12" fillId="2" borderId="22" xfId="2" applyFont="1" applyFill="1" applyBorder="1" applyAlignment="1">
      <alignment horizontal="center"/>
    </xf>
    <xf numFmtId="0" fontId="12" fillId="2" borderId="25" xfId="2" applyFont="1" applyFill="1" applyBorder="1" applyAlignment="1">
      <alignment horizontal="center"/>
    </xf>
    <xf numFmtId="0" fontId="12" fillId="2" borderId="26" xfId="2" applyFont="1" applyFill="1" applyBorder="1" applyAlignment="1">
      <alignment horizontal="center"/>
    </xf>
    <xf numFmtId="0" fontId="12" fillId="2" borderId="27" xfId="2" applyFont="1" applyFill="1" applyBorder="1" applyAlignment="1">
      <alignment horizontal="center"/>
    </xf>
    <xf numFmtId="0" fontId="12" fillId="2" borderId="12" xfId="2" applyFont="1" applyFill="1" applyBorder="1" applyAlignment="1">
      <alignment horizontal="center"/>
    </xf>
    <xf numFmtId="0" fontId="11" fillId="2" borderId="28" xfId="2" applyFont="1" applyFill="1" applyBorder="1" applyAlignment="1">
      <alignment horizontal="center"/>
    </xf>
    <xf numFmtId="0" fontId="13" fillId="3" borderId="29" xfId="2" applyFont="1" applyFill="1" applyBorder="1" applyAlignment="1" applyProtection="1">
      <alignment horizontal="center"/>
      <protection locked="0"/>
    </xf>
    <xf numFmtId="171" fontId="11" fillId="2" borderId="26" xfId="2" applyNumberFormat="1" applyFont="1" applyFill="1" applyBorder="1" applyAlignment="1">
      <alignment horizontal="center"/>
    </xf>
    <xf numFmtId="171" fontId="11" fillId="2" borderId="30" xfId="2" applyNumberFormat="1" applyFont="1" applyFill="1" applyBorder="1" applyAlignment="1">
      <alignment horizontal="center"/>
    </xf>
    <xf numFmtId="0" fontId="18" fillId="2" borderId="13" xfId="2" applyFont="1" applyFill="1" applyBorder="1"/>
    <xf numFmtId="0" fontId="11" fillId="2" borderId="24" xfId="2" applyFont="1" applyFill="1" applyBorder="1" applyAlignment="1">
      <alignment horizontal="center"/>
    </xf>
    <xf numFmtId="0" fontId="13" fillId="3" borderId="23" xfId="2" applyFont="1" applyFill="1" applyBorder="1" applyAlignment="1" applyProtection="1">
      <alignment horizontal="center"/>
      <protection locked="0"/>
    </xf>
    <xf numFmtId="171" fontId="11" fillId="2" borderId="31" xfId="2" applyNumberFormat="1" applyFont="1" applyFill="1" applyBorder="1" applyAlignment="1">
      <alignment horizontal="center"/>
    </xf>
    <xf numFmtId="171" fontId="11" fillId="2" borderId="32" xfId="2" applyNumberFormat="1" applyFont="1" applyFill="1" applyBorder="1" applyAlignment="1">
      <alignment horizontal="center"/>
    </xf>
    <xf numFmtId="10" fontId="15" fillId="2" borderId="14" xfId="2" applyNumberFormat="1" applyFont="1" applyFill="1" applyBorder="1" applyAlignment="1">
      <alignment horizontal="center" vertical="center"/>
    </xf>
    <xf numFmtId="0" fontId="11" fillId="2" borderId="33" xfId="2" applyFont="1" applyFill="1" applyBorder="1" applyAlignment="1">
      <alignment horizontal="center"/>
    </xf>
    <xf numFmtId="0" fontId="13" fillId="3" borderId="34" xfId="2" applyFont="1" applyFill="1" applyBorder="1" applyAlignment="1" applyProtection="1">
      <alignment horizontal="center"/>
      <protection locked="0"/>
    </xf>
    <xf numFmtId="171" fontId="11" fillId="2" borderId="35" xfId="2" applyNumberFormat="1" applyFont="1" applyFill="1" applyBorder="1" applyAlignment="1">
      <alignment horizontal="center"/>
    </xf>
    <xf numFmtId="171" fontId="11" fillId="2" borderId="36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4" xfId="2" applyFont="1" applyFill="1" applyBorder="1" applyAlignment="1">
      <alignment horizontal="right"/>
    </xf>
    <xf numFmtId="1" fontId="12" fillId="6" borderId="37" xfId="2" applyNumberFormat="1" applyFont="1" applyFill="1" applyBorder="1" applyAlignment="1">
      <alignment horizontal="center"/>
    </xf>
    <xf numFmtId="171" fontId="12" fillId="6" borderId="38" xfId="2" applyNumberFormat="1" applyFont="1" applyFill="1" applyBorder="1" applyAlignment="1">
      <alignment horizontal="center"/>
    </xf>
    <xf numFmtId="171" fontId="12" fillId="6" borderId="39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3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41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41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9" fillId="2" borderId="21" xfId="2" applyFont="1" applyFill="1" applyBorder="1" applyAlignment="1">
      <alignment horizontal="left" vertical="center" wrapText="1"/>
    </xf>
    <xf numFmtId="0" fontId="19" fillId="2" borderId="22" xfId="2" applyFont="1" applyFill="1" applyBorder="1" applyAlignment="1">
      <alignment horizontal="left" vertical="center" wrapText="1"/>
    </xf>
    <xf numFmtId="166" fontId="11" fillId="6" borderId="41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9" fillId="2" borderId="43" xfId="2" applyFont="1" applyFill="1" applyBorder="1" applyAlignment="1">
      <alignment horizontal="left" vertical="center" wrapText="1"/>
    </xf>
    <xf numFmtId="0" fontId="19" fillId="2" borderId="44" xfId="2" applyFont="1" applyFill="1" applyBorder="1" applyAlignment="1">
      <alignment horizontal="left" vertical="center" wrapText="1"/>
    </xf>
    <xf numFmtId="0" fontId="11" fillId="2" borderId="42" xfId="2" applyFont="1" applyFill="1" applyBorder="1" applyAlignment="1">
      <alignment horizontal="right"/>
    </xf>
    <xf numFmtId="166" fontId="13" fillId="3" borderId="41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29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71" fontId="12" fillId="7" borderId="13" xfId="2" applyNumberFormat="1" applyFont="1" applyFill="1" applyBorder="1" applyAlignment="1">
      <alignment horizontal="center"/>
    </xf>
    <xf numFmtId="171" fontId="11" fillId="2" borderId="0" xfId="2" applyNumberFormat="1" applyFont="1" applyFill="1" applyAlignment="1">
      <alignment horizontal="center"/>
    </xf>
    <xf numFmtId="10" fontId="11" fillId="6" borderId="41" xfId="2" applyNumberFormat="1" applyFont="1" applyFill="1" applyBorder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2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3" fillId="3" borderId="0" xfId="2" applyNumberFormat="1" applyFont="1" applyFill="1" applyAlignment="1" applyProtection="1">
      <alignment horizontal="center"/>
      <protection locked="0"/>
    </xf>
    <xf numFmtId="166" fontId="12" fillId="2" borderId="0" xfId="2" applyNumberFormat="1" applyFont="1" applyFill="1" applyAlignment="1" applyProtection="1">
      <alignment horizontal="center"/>
      <protection locked="0"/>
    </xf>
    <xf numFmtId="2" fontId="12" fillId="2" borderId="13" xfId="2" applyNumberFormat="1" applyFont="1" applyFill="1" applyBorder="1" applyAlignment="1">
      <alignment horizontal="center"/>
    </xf>
    <xf numFmtId="0" fontId="12" fillId="2" borderId="13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 vertical="center"/>
    </xf>
    <xf numFmtId="2" fontId="13" fillId="3" borderId="13" xfId="2" applyNumberFormat="1" applyFont="1" applyFill="1" applyBorder="1" applyAlignment="1" applyProtection="1">
      <alignment horizontal="center" vertical="center"/>
      <protection locked="0"/>
    </xf>
    <xf numFmtId="0" fontId="11" fillId="2" borderId="13" xfId="2" applyFont="1" applyFill="1" applyBorder="1" applyAlignment="1">
      <alignment horizontal="center"/>
    </xf>
    <xf numFmtId="0" fontId="13" fillId="3" borderId="21" xfId="2" applyFont="1" applyFill="1" applyBorder="1" applyAlignment="1" applyProtection="1">
      <alignment horizontal="center"/>
      <protection locked="0"/>
    </xf>
    <xf numFmtId="166" fontId="11" fillId="2" borderId="21" xfId="2" applyNumberFormat="1" applyFont="1" applyFill="1" applyBorder="1" applyAlignment="1">
      <alignment horizontal="center"/>
    </xf>
    <xf numFmtId="10" fontId="11" fillId="2" borderId="70" xfId="2" applyNumberFormat="1" applyFont="1" applyFill="1" applyBorder="1" applyAlignment="1">
      <alignment horizontal="center" vertical="center"/>
    </xf>
    <xf numFmtId="0" fontId="5" fillId="2" borderId="71" xfId="2" applyFont="1" applyFill="1" applyBorder="1" applyAlignment="1">
      <alignment horizontal="center"/>
    </xf>
    <xf numFmtId="0" fontId="12" fillId="2" borderId="0" xfId="2" applyFont="1" applyFill="1" applyAlignment="1">
      <alignment horizontal="center" vertical="center"/>
    </xf>
    <xf numFmtId="2" fontId="13" fillId="3" borderId="14" xfId="2" applyNumberFormat="1" applyFont="1" applyFill="1" applyBorder="1" applyAlignment="1" applyProtection="1">
      <alignment horizontal="center" vertical="center"/>
      <protection locked="0"/>
    </xf>
    <xf numFmtId="0" fontId="11" fillId="2" borderId="14" xfId="2" applyFont="1" applyFill="1" applyBorder="1" applyAlignment="1">
      <alignment horizontal="center"/>
    </xf>
    <xf numFmtId="166" fontId="11" fillId="2" borderId="23" xfId="2" applyNumberFormat="1" applyFont="1" applyFill="1" applyBorder="1" applyAlignment="1">
      <alignment horizontal="center"/>
    </xf>
    <xf numFmtId="10" fontId="11" fillId="9" borderId="72" xfId="2" applyNumberFormat="1" applyFont="1" applyFill="1" applyBorder="1" applyAlignment="1">
      <alignment horizontal="center" vertical="center"/>
    </xf>
    <xf numFmtId="1" fontId="13" fillId="3" borderId="23" xfId="2" applyNumberFormat="1" applyFont="1" applyFill="1" applyBorder="1" applyAlignment="1" applyProtection="1">
      <alignment horizontal="center"/>
      <protection locked="0"/>
    </xf>
    <xf numFmtId="10" fontId="11" fillId="2" borderId="72" xfId="2" applyNumberFormat="1" applyFont="1" applyFill="1" applyBorder="1" applyAlignment="1">
      <alignment horizontal="center" vertical="center"/>
    </xf>
    <xf numFmtId="0" fontId="12" fillId="2" borderId="9" xfId="2" applyFont="1" applyFill="1" applyBorder="1" applyAlignment="1">
      <alignment horizontal="center" vertical="center"/>
    </xf>
    <xf numFmtId="2" fontId="13" fillId="3" borderId="15" xfId="2" applyNumberFormat="1" applyFont="1" applyFill="1" applyBorder="1" applyAlignment="1" applyProtection="1">
      <alignment horizontal="center" vertical="center"/>
      <protection locked="0"/>
    </xf>
    <xf numFmtId="0" fontId="11" fillId="2" borderId="15" xfId="2" applyFont="1" applyFill="1" applyBorder="1" applyAlignment="1">
      <alignment horizontal="center"/>
    </xf>
    <xf numFmtId="0" fontId="13" fillId="3" borderId="43" xfId="2" applyFont="1" applyFill="1" applyBorder="1" applyAlignment="1" applyProtection="1">
      <alignment horizontal="center"/>
      <protection locked="0"/>
    </xf>
    <xf numFmtId="166" fontId="11" fillId="2" borderId="43" xfId="2" applyNumberFormat="1" applyFont="1" applyFill="1" applyBorder="1" applyAlignment="1">
      <alignment horizontal="center"/>
    </xf>
    <xf numFmtId="10" fontId="11" fillId="2" borderId="73" xfId="2" applyNumberFormat="1" applyFont="1" applyFill="1" applyBorder="1" applyAlignment="1">
      <alignment horizontal="center" vertical="center"/>
    </xf>
    <xf numFmtId="0" fontId="14" fillId="2" borderId="24" xfId="2" applyFont="1" applyFill="1" applyBorder="1" applyAlignment="1">
      <alignment horizontal="center"/>
    </xf>
    <xf numFmtId="2" fontId="14" fillId="2" borderId="44" xfId="2" applyNumberFormat="1" applyFont="1" applyFill="1" applyBorder="1" applyAlignment="1">
      <alignment horizontal="center"/>
    </xf>
    <xf numFmtId="0" fontId="19" fillId="2" borderId="21" xfId="2" applyFont="1" applyFill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center" vertical="center" wrapText="1"/>
    </xf>
    <xf numFmtId="0" fontId="19" fillId="2" borderId="43" xfId="2" applyFont="1" applyFill="1" applyBorder="1" applyAlignment="1">
      <alignment horizontal="center" vertical="center" wrapText="1"/>
    </xf>
    <xf numFmtId="0" fontId="19" fillId="2" borderId="44" xfId="2" applyFont="1" applyFill="1" applyBorder="1" applyAlignment="1">
      <alignment horizontal="center" vertical="center" wrapText="1"/>
    </xf>
    <xf numFmtId="0" fontId="12" fillId="2" borderId="43" xfId="2" applyFont="1" applyFill="1" applyBorder="1" applyAlignment="1">
      <alignment horizontal="center" vertical="center"/>
    </xf>
    <xf numFmtId="0" fontId="11" fillId="2" borderId="45" xfId="2" applyFont="1" applyFill="1" applyBorder="1" applyAlignment="1">
      <alignment horizontal="right"/>
    </xf>
    <xf numFmtId="2" fontId="13" fillId="7" borderId="33" xfId="2" applyNumberFormat="1" applyFont="1" applyFill="1" applyBorder="1" applyAlignment="1">
      <alignment horizontal="center"/>
    </xf>
    <xf numFmtId="10" fontId="13" fillId="7" borderId="33" xfId="2" applyNumberFormat="1" applyFont="1" applyFill="1" applyBorder="1" applyAlignment="1">
      <alignment horizontal="center"/>
    </xf>
    <xf numFmtId="0" fontId="11" fillId="2" borderId="41" xfId="2" applyFont="1" applyFill="1" applyBorder="1" applyAlignment="1">
      <alignment horizontal="right"/>
    </xf>
    <xf numFmtId="10" fontId="13" fillId="6" borderId="57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3" fillId="7" borderId="46" xfId="2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165" fontId="13" fillId="2" borderId="0" xfId="2" applyNumberFormat="1" applyFont="1" applyFill="1" applyAlignment="1">
      <alignment horizontal="center"/>
    </xf>
    <xf numFmtId="0" fontId="13" fillId="3" borderId="0" xfId="2" applyFont="1" applyFill="1" applyAlignment="1" applyProtection="1">
      <alignment horizontal="left"/>
      <protection locked="0"/>
    </xf>
    <xf numFmtId="0" fontId="12" fillId="2" borderId="47" xfId="2" applyFont="1" applyFill="1" applyBorder="1" applyAlignment="1">
      <alignment horizontal="center"/>
    </xf>
    <xf numFmtId="0" fontId="12" fillId="2" borderId="40" xfId="2" applyFont="1" applyFill="1" applyBorder="1" applyAlignment="1">
      <alignment horizontal="center"/>
    </xf>
    <xf numFmtId="0" fontId="12" fillId="2" borderId="10" xfId="2" applyFont="1" applyFill="1" applyBorder="1" applyAlignment="1">
      <alignment horizontal="center"/>
    </xf>
    <xf numFmtId="0" fontId="12" fillId="2" borderId="30" xfId="2" applyFont="1" applyFill="1" applyBorder="1" applyAlignment="1">
      <alignment horizontal="center"/>
    </xf>
    <xf numFmtId="0" fontId="11" fillId="2" borderId="48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71" fontId="13" fillId="3" borderId="34" xfId="2" applyNumberFormat="1" applyFont="1" applyFill="1" applyBorder="1" applyAlignment="1" applyProtection="1">
      <alignment horizontal="center"/>
      <protection locked="0"/>
    </xf>
    <xf numFmtId="1" fontId="12" fillId="6" borderId="49" xfId="2" applyNumberFormat="1" applyFont="1" applyFill="1" applyBorder="1" applyAlignment="1">
      <alignment horizontal="center"/>
    </xf>
    <xf numFmtId="1" fontId="12" fillId="6" borderId="50" xfId="2" applyNumberFormat="1" applyFont="1" applyFill="1" applyBorder="1" applyAlignment="1">
      <alignment horizontal="center"/>
    </xf>
    <xf numFmtId="171" fontId="12" fillId="6" borderId="15" xfId="2" applyNumberFormat="1" applyFont="1" applyFill="1" applyBorder="1" applyAlignment="1">
      <alignment horizontal="center"/>
    </xf>
    <xf numFmtId="0" fontId="11" fillId="2" borderId="51" xfId="2" applyFont="1" applyFill="1" applyBorder="1" applyAlignment="1">
      <alignment horizontal="right"/>
    </xf>
    <xf numFmtId="0" fontId="13" fillId="3" borderId="52" xfId="2" applyFont="1" applyFill="1" applyBorder="1" applyAlignment="1" applyProtection="1">
      <alignment horizontal="center"/>
      <protection locked="0"/>
    </xf>
    <xf numFmtId="0" fontId="11" fillId="2" borderId="25" xfId="2" applyFont="1" applyFill="1" applyBorder="1" applyAlignment="1">
      <alignment horizontal="right"/>
    </xf>
    <xf numFmtId="2" fontId="11" fillId="6" borderId="27" xfId="2" applyNumberFormat="1" applyFont="1" applyFill="1" applyBorder="1" applyAlignment="1">
      <alignment horizontal="center"/>
    </xf>
    <xf numFmtId="2" fontId="11" fillId="7" borderId="27" xfId="2" applyNumberFormat="1" applyFont="1" applyFill="1" applyBorder="1" applyAlignment="1">
      <alignment horizontal="center"/>
    </xf>
    <xf numFmtId="0" fontId="19" fillId="2" borderId="10" xfId="2" applyFont="1" applyFill="1" applyBorder="1" applyAlignment="1">
      <alignment horizontal="left" vertical="center" wrapText="1"/>
    </xf>
    <xf numFmtId="166" fontId="11" fillId="6" borderId="27" xfId="2" applyNumberFormat="1" applyFont="1" applyFill="1" applyBorder="1" applyAlignment="1">
      <alignment horizontal="center"/>
    </xf>
    <xf numFmtId="0" fontId="19" fillId="2" borderId="9" xfId="2" applyFont="1" applyFill="1" applyBorder="1" applyAlignment="1">
      <alignment horizontal="left" vertical="center" wrapText="1"/>
    </xf>
    <xf numFmtId="166" fontId="11" fillId="7" borderId="27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53" xfId="2" applyFont="1" applyFill="1" applyBorder="1" applyAlignment="1">
      <alignment horizontal="right"/>
    </xf>
    <xf numFmtId="2" fontId="11" fillId="7" borderId="30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71" fontId="12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2" fillId="6" borderId="41" xfId="2" applyNumberFormat="1" applyFont="1" applyFill="1" applyBorder="1" applyAlignment="1">
      <alignment horizontal="center"/>
    </xf>
    <xf numFmtId="0" fontId="12" fillId="7" borderId="17" xfId="2" applyFont="1" applyFill="1" applyBorder="1" applyAlignment="1">
      <alignment horizontal="center"/>
    </xf>
    <xf numFmtId="0" fontId="12" fillId="2" borderId="54" xfId="2" applyFont="1" applyFill="1" applyBorder="1" applyAlignment="1">
      <alignment horizontal="center"/>
    </xf>
    <xf numFmtId="0" fontId="12" fillId="2" borderId="55" xfId="2" applyFont="1" applyFill="1" applyBorder="1" applyAlignment="1">
      <alignment horizontal="center"/>
    </xf>
    <xf numFmtId="0" fontId="12" fillId="2" borderId="22" xfId="2" applyFont="1" applyFill="1" applyBorder="1" applyAlignment="1">
      <alignment horizontal="center" wrapText="1"/>
    </xf>
    <xf numFmtId="0" fontId="11" fillId="2" borderId="23" xfId="2" applyFont="1" applyFill="1" applyBorder="1" applyAlignment="1">
      <alignment horizontal="center"/>
    </xf>
    <xf numFmtId="1" fontId="13" fillId="3" borderId="31" xfId="2" applyNumberFormat="1" applyFont="1" applyFill="1" applyBorder="1" applyAlignment="1" applyProtection="1">
      <alignment horizontal="center"/>
      <protection locked="0"/>
    </xf>
    <xf numFmtId="166" fontId="11" fillId="2" borderId="26" xfId="2" applyNumberFormat="1" applyFont="1" applyFill="1" applyBorder="1" applyAlignment="1">
      <alignment horizontal="center"/>
    </xf>
    <xf numFmtId="10" fontId="11" fillId="2" borderId="30" xfId="2" applyNumberFormat="1" applyFont="1" applyFill="1" applyBorder="1" applyAlignment="1">
      <alignment horizontal="center"/>
    </xf>
    <xf numFmtId="166" fontId="11" fillId="2" borderId="31" xfId="2" applyNumberFormat="1" applyFont="1" applyFill="1" applyBorder="1" applyAlignment="1">
      <alignment horizontal="center"/>
    </xf>
    <xf numFmtId="10" fontId="11" fillId="2" borderId="32" xfId="2" applyNumberFormat="1" applyFont="1" applyFill="1" applyBorder="1" applyAlignment="1">
      <alignment horizontal="center"/>
    </xf>
    <xf numFmtId="0" fontId="11" fillId="2" borderId="34" xfId="2" applyFont="1" applyFill="1" applyBorder="1" applyAlignment="1">
      <alignment horizontal="center"/>
    </xf>
    <xf numFmtId="1" fontId="13" fillId="3" borderId="35" xfId="2" applyNumberFormat="1" applyFont="1" applyFill="1" applyBorder="1" applyAlignment="1" applyProtection="1">
      <alignment horizontal="center"/>
      <protection locked="0"/>
    </xf>
    <xf numFmtId="166" fontId="11" fillId="2" borderId="35" xfId="2" applyNumberFormat="1" applyFont="1" applyFill="1" applyBorder="1" applyAlignment="1">
      <alignment horizontal="center"/>
    </xf>
    <xf numFmtId="10" fontId="11" fillId="2" borderId="36" xfId="2" applyNumberFormat="1" applyFont="1" applyFill="1" applyBorder="1" applyAlignment="1">
      <alignment horizontal="center"/>
    </xf>
    <xf numFmtId="2" fontId="11" fillId="2" borderId="24" xfId="2" applyNumberFormat="1" applyFont="1" applyFill="1" applyBorder="1" applyAlignment="1">
      <alignment horizontal="center"/>
    </xf>
    <xf numFmtId="171" fontId="11" fillId="2" borderId="2" xfId="2" applyNumberFormat="1" applyFont="1" applyFill="1" applyBorder="1" applyAlignment="1">
      <alignment horizontal="right"/>
    </xf>
    <xf numFmtId="2" fontId="13" fillId="7" borderId="27" xfId="2" applyNumberFormat="1" applyFont="1" applyFill="1" applyBorder="1" applyAlignment="1">
      <alignment horizontal="center"/>
    </xf>
    <xf numFmtId="10" fontId="13" fillId="7" borderId="27" xfId="2" applyNumberFormat="1" applyFont="1" applyFill="1" applyBorder="1" applyAlignment="1">
      <alignment horizontal="center"/>
    </xf>
    <xf numFmtId="0" fontId="11" fillId="2" borderId="23" xfId="2" applyFont="1" applyFill="1" applyBorder="1"/>
    <xf numFmtId="10" fontId="13" fillId="6" borderId="27" xfId="2" applyNumberFormat="1" applyFont="1" applyFill="1" applyBorder="1" applyAlignment="1">
      <alignment horizontal="center"/>
    </xf>
    <xf numFmtId="0" fontId="11" fillId="2" borderId="43" xfId="2" applyFont="1" applyFill="1" applyBorder="1"/>
    <xf numFmtId="0" fontId="11" fillId="2" borderId="56" xfId="2" applyFont="1" applyFill="1" applyBorder="1" applyAlignment="1">
      <alignment horizontal="right"/>
    </xf>
    <xf numFmtId="0" fontId="13" fillId="7" borderId="17" xfId="2" applyFont="1" applyFill="1" applyBorder="1" applyAlignment="1">
      <alignment horizontal="center"/>
    </xf>
    <xf numFmtId="0" fontId="19" fillId="2" borderId="0" xfId="2" applyFont="1" applyFill="1" applyAlignment="1">
      <alignment horizontal="right" vertical="center" wrapText="1"/>
    </xf>
    <xf numFmtId="0" fontId="19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2" fillId="2" borderId="10" xfId="2" applyFont="1" applyFill="1" applyBorder="1" applyAlignment="1">
      <alignment horizontal="center"/>
    </xf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2" fillId="2" borderId="11" xfId="2" applyFont="1" applyFill="1" applyBorder="1"/>
    <xf numFmtId="0" fontId="11" fillId="2" borderId="11" xfId="2" applyFont="1" applyFill="1" applyBorder="1"/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1" fillId="2" borderId="0" xfId="1" applyFont="1" applyFill="1"/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2" fillId="2" borderId="0" xfId="1" applyFont="1" applyFill="1"/>
    <xf numFmtId="0" fontId="13" fillId="3" borderId="0" xfId="1" applyFont="1" applyFill="1" applyAlignment="1" applyProtection="1">
      <alignment horizontal="left" wrapText="1"/>
      <protection locked="0"/>
    </xf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4" fillId="3" borderId="0" xfId="1" applyFont="1" applyFill="1" applyAlignment="1" applyProtection="1">
      <alignment horizontal="left"/>
      <protection locked="0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8" xfId="1" applyFont="1" applyFill="1" applyBorder="1" applyAlignment="1">
      <alignment horizontal="center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0" fontId="11" fillId="2" borderId="13" xfId="1" applyNumberFormat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2" fillId="2" borderId="9" xfId="1" applyFont="1" applyFill="1" applyBorder="1" applyAlignment="1">
      <alignment horizontal="center" vertical="center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13" xfId="1" applyNumberFormat="1" applyFont="1" applyFill="1" applyBorder="1" applyAlignment="1">
      <alignment horizontal="center"/>
    </xf>
    <xf numFmtId="10" fontId="11" fillId="2" borderId="22" xfId="1" applyNumberFormat="1" applyFont="1" applyFill="1" applyBorder="1" applyAlignment="1">
      <alignment horizontal="center" vertical="center"/>
    </xf>
    <xf numFmtId="166" fontId="11" fillId="2" borderId="14" xfId="1" applyNumberFormat="1" applyFont="1" applyFill="1" applyBorder="1" applyAlignment="1">
      <alignment horizontal="center"/>
    </xf>
    <xf numFmtId="10" fontId="11" fillId="2" borderId="24" xfId="1" applyNumberFormat="1" applyFont="1" applyFill="1" applyBorder="1" applyAlignment="1">
      <alignment horizontal="center" vertical="center"/>
    </xf>
    <xf numFmtId="166" fontId="11" fillId="2" borderId="15" xfId="1" applyNumberFormat="1" applyFont="1" applyFill="1" applyBorder="1" applyAlignment="1">
      <alignment horizontal="center"/>
    </xf>
    <xf numFmtId="10" fontId="11" fillId="2" borderId="44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43" xfId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0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7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0" fontId="12" fillId="2" borderId="0" xfId="1" applyFont="1" applyFill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" fontId="12" fillId="6" borderId="49" xfId="1" applyNumberFormat="1" applyFont="1" applyFill="1" applyBorder="1" applyAlignment="1">
      <alignment horizontal="center"/>
    </xf>
    <xf numFmtId="1" fontId="12" fillId="6" borderId="50" xfId="1" applyNumberFormat="1" applyFont="1" applyFill="1" applyBorder="1" applyAlignment="1">
      <alignment horizontal="center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0" fontId="19" fillId="2" borderId="10" xfId="1" applyFont="1" applyFill="1" applyBorder="1" applyAlignment="1">
      <alignment horizontal="left" vertical="center" wrapText="1"/>
    </xf>
    <xf numFmtId="166" fontId="11" fillId="6" borderId="27" xfId="1" applyNumberFormat="1" applyFont="1" applyFill="1" applyBorder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54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0" fontId="11" fillId="2" borderId="23" xfId="1" applyFont="1" applyFill="1" applyBorder="1" applyAlignment="1">
      <alignment horizontal="center"/>
    </xf>
    <xf numFmtId="1" fontId="13" fillId="3" borderId="31" xfId="1" applyNumberFormat="1" applyFont="1" applyFill="1" applyBorder="1" applyAlignment="1" applyProtection="1">
      <alignment horizontal="center"/>
      <protection locked="0"/>
    </xf>
    <xf numFmtId="166" fontId="11" fillId="2" borderId="26" xfId="1" applyNumberFormat="1" applyFont="1" applyFill="1" applyBorder="1" applyAlignment="1">
      <alignment horizontal="center"/>
    </xf>
    <xf numFmtId="10" fontId="11" fillId="2" borderId="30" xfId="1" applyNumberFormat="1" applyFont="1" applyFill="1" applyBorder="1" applyAlignment="1">
      <alignment horizontal="center"/>
    </xf>
    <xf numFmtId="166" fontId="11" fillId="2" borderId="31" xfId="1" applyNumberFormat="1" applyFont="1" applyFill="1" applyBorder="1" applyAlignment="1">
      <alignment horizontal="center"/>
    </xf>
    <xf numFmtId="10" fontId="11" fillId="2" borderId="32" xfId="1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/>
    </xf>
    <xf numFmtId="1" fontId="13" fillId="3" borderId="35" xfId="1" applyNumberFormat="1" applyFont="1" applyFill="1" applyBorder="1" applyAlignment="1" applyProtection="1">
      <alignment horizontal="center"/>
      <protection locked="0"/>
    </xf>
    <xf numFmtId="166" fontId="11" fillId="2" borderId="35" xfId="1" applyNumberFormat="1" applyFont="1" applyFill="1" applyBorder="1" applyAlignment="1">
      <alignment horizontal="center"/>
    </xf>
    <xf numFmtId="10" fontId="11" fillId="2" borderId="36" xfId="1" applyNumberFormat="1" applyFont="1" applyFill="1" applyBorder="1" applyAlignment="1">
      <alignment horizontal="center"/>
    </xf>
    <xf numFmtId="2" fontId="11" fillId="2" borderId="24" xfId="1" applyNumberFormat="1" applyFont="1" applyFill="1" applyBorder="1" applyAlignment="1">
      <alignment horizontal="center"/>
    </xf>
    <xf numFmtId="171" fontId="11" fillId="2" borderId="2" xfId="1" applyNumberFormat="1" applyFont="1" applyFill="1" applyBorder="1" applyAlignment="1">
      <alignment horizontal="right"/>
    </xf>
    <xf numFmtId="2" fontId="13" fillId="7" borderId="27" xfId="1" applyNumberFormat="1" applyFont="1" applyFill="1" applyBorder="1" applyAlignment="1">
      <alignment horizontal="center"/>
    </xf>
    <xf numFmtId="10" fontId="13" fillId="7" borderId="27" xfId="1" applyNumberFormat="1" applyFont="1" applyFill="1" applyBorder="1" applyAlignment="1">
      <alignment horizontal="center"/>
    </xf>
    <xf numFmtId="0" fontId="11" fillId="2" borderId="23" xfId="1" applyFont="1" applyFill="1" applyBorder="1"/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1" fillId="2" borderId="56" xfId="1" applyFont="1" applyFill="1" applyBorder="1" applyAlignment="1">
      <alignment horizontal="right"/>
    </xf>
    <xf numFmtId="0" fontId="13" fillId="7" borderId="17" xfId="1" applyFont="1" applyFill="1" applyBorder="1" applyAlignment="1">
      <alignment horizontal="center"/>
    </xf>
    <xf numFmtId="0" fontId="19" fillId="2" borderId="0" xfId="1" applyFont="1" applyFill="1" applyAlignment="1">
      <alignment horizontal="righ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2" fillId="2" borderId="10" xfId="1" applyFont="1" applyFill="1" applyBorder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</cellXfs>
  <cellStyles count="3">
    <cellStyle name="Normal" xfId="0" builtinId="0"/>
    <cellStyle name="Normal 2" xfId="1"/>
    <cellStyle name="Normal 3" xfId="2"/>
  </cellStyles>
  <dxfs count="5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QCL%202014/Samples/2016/OOS/NDQD201509363%20-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(ASSAY)"/>
      <sheetName val="SST (DISS)"/>
      <sheetName val="Uniformity"/>
      <sheetName val="amoxicillin Trihydrate"/>
      <sheetName val="Clavulanic acid"/>
    </sheetNames>
    <sheetDataSet>
      <sheetData sheetId="0"/>
      <sheetData sheetId="1"/>
      <sheetData sheetId="2">
        <row r="46">
          <cell r="C46">
            <v>705.48599999999988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5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19" t="s">
        <v>1</v>
      </c>
      <c r="B16" s="420" t="s">
        <v>129</v>
      </c>
    </row>
    <row r="17" spans="1:5" ht="16.5" customHeight="1" x14ac:dyDescent="0.3">
      <c r="A17" s="421" t="s">
        <v>2</v>
      </c>
      <c r="B17" s="421" t="s">
        <v>4</v>
      </c>
      <c r="D17" s="422"/>
      <c r="E17" s="423"/>
    </row>
    <row r="18" spans="1:5" ht="16.5" customHeight="1" x14ac:dyDescent="0.3">
      <c r="A18" s="424" t="s">
        <v>3</v>
      </c>
      <c r="B18" s="425" t="s">
        <v>124</v>
      </c>
      <c r="C18" s="423"/>
      <c r="D18" s="423"/>
      <c r="E18" s="423"/>
    </row>
    <row r="19" spans="1:5" ht="16.5" customHeight="1" x14ac:dyDescent="0.3">
      <c r="A19" s="424" t="s">
        <v>5</v>
      </c>
      <c r="B19" s="426">
        <v>86.6</v>
      </c>
      <c r="C19" s="423"/>
      <c r="D19" s="423"/>
      <c r="E19" s="423"/>
    </row>
    <row r="20" spans="1:5" ht="16.5" customHeight="1" x14ac:dyDescent="0.3">
      <c r="A20" s="421" t="s">
        <v>7</v>
      </c>
      <c r="B20" s="426">
        <v>19.95</v>
      </c>
      <c r="C20" s="423"/>
      <c r="D20" s="423"/>
      <c r="E20" s="423"/>
    </row>
    <row r="21" spans="1:5" ht="16.5" customHeight="1" x14ac:dyDescent="0.3">
      <c r="A21" s="421" t="s">
        <v>9</v>
      </c>
      <c r="B21" s="427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8" t="s">
        <v>12</v>
      </c>
      <c r="B23" s="429" t="s">
        <v>13</v>
      </c>
      <c r="C23" s="428" t="s">
        <v>14</v>
      </c>
      <c r="D23" s="428" t="s">
        <v>15</v>
      </c>
      <c r="E23" s="428" t="s">
        <v>16</v>
      </c>
    </row>
    <row r="24" spans="1:5" ht="16.5" customHeight="1" x14ac:dyDescent="0.3">
      <c r="A24" s="430">
        <v>1</v>
      </c>
      <c r="B24" s="431">
        <v>106165630</v>
      </c>
      <c r="C24" s="431">
        <v>8245.5400000000009</v>
      </c>
      <c r="D24" s="432">
        <v>1.01</v>
      </c>
      <c r="E24" s="433">
        <v>5.67</v>
      </c>
    </row>
    <row r="25" spans="1:5" ht="16.5" customHeight="1" x14ac:dyDescent="0.3">
      <c r="A25" s="430">
        <v>2</v>
      </c>
      <c r="B25" s="431">
        <v>106541833</v>
      </c>
      <c r="C25" s="431">
        <v>8171.05</v>
      </c>
      <c r="D25" s="432">
        <v>1.03</v>
      </c>
      <c r="E25" s="432">
        <v>5.67</v>
      </c>
    </row>
    <row r="26" spans="1:5" ht="16.5" customHeight="1" x14ac:dyDescent="0.3">
      <c r="A26" s="430">
        <v>3</v>
      </c>
      <c r="B26" s="431">
        <v>106309249</v>
      </c>
      <c r="C26" s="431">
        <v>8151.65</v>
      </c>
      <c r="D26" s="432">
        <v>1.04</v>
      </c>
      <c r="E26" s="432">
        <v>5.67</v>
      </c>
    </row>
    <row r="27" spans="1:5" ht="16.5" customHeight="1" x14ac:dyDescent="0.3">
      <c r="A27" s="430">
        <v>4</v>
      </c>
      <c r="B27" s="431">
        <v>106516519</v>
      </c>
      <c r="C27" s="431">
        <v>8189.31</v>
      </c>
      <c r="D27" s="432">
        <v>1.02</v>
      </c>
      <c r="E27" s="432">
        <v>5.68</v>
      </c>
    </row>
    <row r="28" spans="1:5" ht="16.5" customHeight="1" x14ac:dyDescent="0.3">
      <c r="A28" s="430">
        <v>5</v>
      </c>
      <c r="B28" s="431">
        <v>107022975</v>
      </c>
      <c r="C28" s="431">
        <v>8198.93</v>
      </c>
      <c r="D28" s="432">
        <v>1.02</v>
      </c>
      <c r="E28" s="432">
        <v>5.68</v>
      </c>
    </row>
    <row r="29" spans="1:5" ht="16.5" customHeight="1" x14ac:dyDescent="0.3">
      <c r="A29" s="430">
        <v>6</v>
      </c>
      <c r="B29" s="434">
        <v>106255165</v>
      </c>
      <c r="C29" s="462">
        <v>8237.9599999999991</v>
      </c>
      <c r="D29" s="435">
        <v>1.01</v>
      </c>
      <c r="E29" s="435">
        <v>5.69</v>
      </c>
    </row>
    <row r="30" spans="1:5" ht="16.5" customHeight="1" x14ac:dyDescent="0.3">
      <c r="A30" s="436" t="s">
        <v>17</v>
      </c>
      <c r="B30" s="437">
        <f>AVERAGE(B24:B29)</f>
        <v>106468561.83333333</v>
      </c>
      <c r="C30" s="438">
        <f>AVERAGE(C24:C29)</f>
        <v>8199.0733333333319</v>
      </c>
      <c r="D30" s="439">
        <f>AVERAGE(D24:D29)</f>
        <v>1.0216666666666665</v>
      </c>
      <c r="E30" s="439">
        <f>AVERAGE(E24:E29)</f>
        <v>5.6766666666666659</v>
      </c>
    </row>
    <row r="31" spans="1:5" ht="16.5" customHeight="1" x14ac:dyDescent="0.3">
      <c r="A31" s="440" t="s">
        <v>18</v>
      </c>
      <c r="B31" s="441">
        <f>(STDEV(B24:B29)/B30)</f>
        <v>2.9032498419027078E-3</v>
      </c>
      <c r="C31" s="442"/>
      <c r="D31" s="442"/>
      <c r="E31" s="443"/>
    </row>
    <row r="32" spans="1:5" s="417" customFormat="1" ht="16.5" customHeight="1" x14ac:dyDescent="0.3">
      <c r="A32" s="444" t="s">
        <v>19</v>
      </c>
      <c r="B32" s="445">
        <f>COUNT(B24:B29)</f>
        <v>6</v>
      </c>
      <c r="C32" s="446"/>
      <c r="D32" s="447"/>
      <c r="E32" s="448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9" t="s">
        <v>21</v>
      </c>
      <c r="C34" s="450"/>
      <c r="D34" s="450"/>
      <c r="E34" s="450"/>
    </row>
    <row r="35" spans="1:5" ht="16.5" customHeight="1" x14ac:dyDescent="0.3">
      <c r="A35" s="424"/>
      <c r="B35" s="449" t="s">
        <v>22</v>
      </c>
      <c r="C35" s="450"/>
      <c r="D35" s="450"/>
      <c r="E35" s="450"/>
    </row>
    <row r="36" spans="1:5" ht="16.5" customHeight="1" x14ac:dyDescent="0.3">
      <c r="A36" s="424"/>
      <c r="B36" s="449" t="s">
        <v>23</v>
      </c>
      <c r="C36" s="450"/>
      <c r="D36" s="450"/>
      <c r="E36" s="450"/>
    </row>
    <row r="37" spans="1:5" ht="15.75" customHeight="1" x14ac:dyDescent="0.3">
      <c r="A37" s="423"/>
      <c r="B37" s="451"/>
      <c r="C37" s="423"/>
      <c r="D37" s="423"/>
      <c r="E37" s="423"/>
    </row>
    <row r="38" spans="1:5" ht="16.5" customHeight="1" x14ac:dyDescent="0.3">
      <c r="A38" s="419" t="s">
        <v>1</v>
      </c>
      <c r="B38" s="463" t="s">
        <v>24</v>
      </c>
    </row>
    <row r="39" spans="1:5" ht="16.5" customHeight="1" x14ac:dyDescent="0.3">
      <c r="A39" s="424" t="s">
        <v>3</v>
      </c>
      <c r="B39" s="421" t="s">
        <v>131</v>
      </c>
      <c r="C39" s="423"/>
      <c r="D39" s="423"/>
      <c r="E39" s="423"/>
    </row>
    <row r="40" spans="1:5" ht="16.5" customHeight="1" x14ac:dyDescent="0.3">
      <c r="A40" s="424" t="s">
        <v>5</v>
      </c>
      <c r="B40" s="426">
        <v>96.4</v>
      </c>
      <c r="C40" s="423"/>
      <c r="D40" s="423"/>
      <c r="E40" s="423"/>
    </row>
    <row r="41" spans="1:5" ht="16.5" customHeight="1" x14ac:dyDescent="0.3">
      <c r="A41" s="421" t="s">
        <v>7</v>
      </c>
      <c r="B41" s="426">
        <v>10.28</v>
      </c>
      <c r="C41" s="423"/>
      <c r="D41" s="423"/>
      <c r="E41" s="423"/>
    </row>
    <row r="42" spans="1:5" ht="16.5" customHeight="1" x14ac:dyDescent="0.3">
      <c r="A42" s="421" t="s">
        <v>9</v>
      </c>
      <c r="B42" s="427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12</v>
      </c>
      <c r="B44" s="429" t="s">
        <v>13</v>
      </c>
      <c r="C44" s="428" t="s">
        <v>14</v>
      </c>
      <c r="D44" s="428" t="s">
        <v>15</v>
      </c>
      <c r="E44" s="428" t="s">
        <v>16</v>
      </c>
    </row>
    <row r="45" spans="1:5" ht="16.5" customHeight="1" x14ac:dyDescent="0.3">
      <c r="A45" s="430">
        <v>1</v>
      </c>
      <c r="B45" s="431">
        <v>43420992</v>
      </c>
      <c r="C45" s="431">
        <v>9883.94</v>
      </c>
      <c r="D45" s="432">
        <v>1.1499999999999999</v>
      </c>
      <c r="E45" s="433">
        <v>4.1100000000000003</v>
      </c>
    </row>
    <row r="46" spans="1:5" ht="16.5" customHeight="1" x14ac:dyDescent="0.3">
      <c r="A46" s="430">
        <v>2</v>
      </c>
      <c r="B46" s="431">
        <v>43556072</v>
      </c>
      <c r="C46" s="431">
        <v>9893.2999999999993</v>
      </c>
      <c r="D46" s="432">
        <v>1.1399999999999999</v>
      </c>
      <c r="E46" s="432">
        <v>4.1100000000000003</v>
      </c>
    </row>
    <row r="47" spans="1:5" ht="16.5" customHeight="1" x14ac:dyDescent="0.3">
      <c r="A47" s="430">
        <v>3</v>
      </c>
      <c r="B47" s="431">
        <v>43484545</v>
      </c>
      <c r="C47" s="431">
        <v>9895.58</v>
      </c>
      <c r="D47" s="432">
        <v>1.17</v>
      </c>
      <c r="E47" s="432">
        <v>4.1100000000000003</v>
      </c>
    </row>
    <row r="48" spans="1:5" ht="16.5" customHeight="1" x14ac:dyDescent="0.3">
      <c r="A48" s="430">
        <v>4</v>
      </c>
      <c r="B48" s="431">
        <v>43541679</v>
      </c>
      <c r="C48" s="431">
        <v>9891.77</v>
      </c>
      <c r="D48" s="432">
        <v>1.1499999999999999</v>
      </c>
      <c r="E48" s="432">
        <v>4.12</v>
      </c>
    </row>
    <row r="49" spans="1:7" ht="16.5" customHeight="1" x14ac:dyDescent="0.3">
      <c r="A49" s="430">
        <v>5</v>
      </c>
      <c r="B49" s="431">
        <v>43699668</v>
      </c>
      <c r="C49" s="431">
        <v>9906.34</v>
      </c>
      <c r="D49" s="432">
        <v>1.1399999999999999</v>
      </c>
      <c r="E49" s="432">
        <v>4.12</v>
      </c>
    </row>
    <row r="50" spans="1:7" ht="16.5" customHeight="1" x14ac:dyDescent="0.3">
      <c r="A50" s="430">
        <v>6</v>
      </c>
      <c r="B50" s="434">
        <v>43387916</v>
      </c>
      <c r="C50" s="434">
        <v>9963.7800000000007</v>
      </c>
      <c r="D50" s="435">
        <v>1.1299999999999999</v>
      </c>
      <c r="E50" s="435">
        <v>4.13</v>
      </c>
    </row>
    <row r="51" spans="1:7" ht="16.5" customHeight="1" x14ac:dyDescent="0.3">
      <c r="A51" s="436" t="s">
        <v>17</v>
      </c>
      <c r="B51" s="437">
        <f>AVERAGE(B45:B50)</f>
        <v>43515145.333333336</v>
      </c>
      <c r="C51" s="438">
        <f>AVERAGE(C45:C50)</f>
        <v>9905.784999999998</v>
      </c>
      <c r="D51" s="439">
        <f>AVERAGE(D45:D50)</f>
        <v>1.1466666666666665</v>
      </c>
      <c r="E51" s="439">
        <f>AVERAGE(E45:E50)</f>
        <v>4.1166666666666671</v>
      </c>
    </row>
    <row r="52" spans="1:7" ht="16.5" customHeight="1" x14ac:dyDescent="0.3">
      <c r="A52" s="440" t="s">
        <v>18</v>
      </c>
      <c r="B52" s="441">
        <f>(STDEV(B45:B50)/B51)</f>
        <v>2.5675749966234114E-3</v>
      </c>
      <c r="C52" s="442"/>
      <c r="D52" s="442"/>
      <c r="E52" s="443"/>
    </row>
    <row r="53" spans="1:7" s="417" customFormat="1" ht="16.5" customHeight="1" x14ac:dyDescent="0.3">
      <c r="A53" s="444" t="s">
        <v>19</v>
      </c>
      <c r="B53" s="445">
        <f>COUNT(B45:B50)</f>
        <v>6</v>
      </c>
      <c r="C53" s="446"/>
      <c r="D53" s="447"/>
      <c r="E53" s="448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20</v>
      </c>
      <c r="B55" s="449" t="s">
        <v>21</v>
      </c>
      <c r="C55" s="450"/>
      <c r="D55" s="450"/>
      <c r="E55" s="450"/>
    </row>
    <row r="56" spans="1:7" ht="16.5" customHeight="1" x14ac:dyDescent="0.3">
      <c r="A56" s="424"/>
      <c r="B56" s="449" t="s">
        <v>22</v>
      </c>
      <c r="C56" s="450"/>
      <c r="D56" s="450"/>
      <c r="E56" s="450"/>
    </row>
    <row r="57" spans="1:7" ht="16.5" customHeight="1" x14ac:dyDescent="0.3">
      <c r="A57" s="424"/>
      <c r="B57" s="449" t="s">
        <v>23</v>
      </c>
      <c r="C57" s="450"/>
      <c r="D57" s="450"/>
      <c r="E57" s="450"/>
    </row>
    <row r="58" spans="1:7" ht="14.25" customHeight="1" thickBot="1" x14ac:dyDescent="0.3">
      <c r="A58" s="452"/>
      <c r="B58" s="453"/>
      <c r="D58" s="454"/>
      <c r="F58" s="455"/>
      <c r="G58" s="455"/>
    </row>
    <row r="59" spans="1:7" ht="15" customHeight="1" x14ac:dyDescent="0.3">
      <c r="B59" s="479" t="s">
        <v>25</v>
      </c>
      <c r="C59" s="479"/>
      <c r="E59" s="456" t="s">
        <v>26</v>
      </c>
      <c r="F59" s="457"/>
      <c r="G59" s="456" t="s">
        <v>27</v>
      </c>
    </row>
    <row r="60" spans="1:7" ht="15" customHeight="1" x14ac:dyDescent="0.3">
      <c r="A60" s="458" t="s">
        <v>28</v>
      </c>
      <c r="B60" s="459"/>
      <c r="C60" s="459"/>
      <c r="E60" s="459"/>
      <c r="G60" s="459"/>
    </row>
    <row r="61" spans="1:7" ht="15" customHeight="1" x14ac:dyDescent="0.3">
      <c r="A61" s="458" t="s">
        <v>29</v>
      </c>
      <c r="B61" s="460"/>
      <c r="C61" s="460"/>
      <c r="E61" s="460"/>
      <c r="G61" s="4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4" sqref="A14:G6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5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19" t="s">
        <v>1</v>
      </c>
      <c r="B16" s="420" t="s">
        <v>126</v>
      </c>
    </row>
    <row r="17" spans="1:5" ht="16.5" customHeight="1" x14ac:dyDescent="0.3">
      <c r="A17" s="421" t="s">
        <v>2</v>
      </c>
      <c r="B17" s="421" t="s">
        <v>4</v>
      </c>
      <c r="D17" s="422"/>
      <c r="E17" s="423"/>
    </row>
    <row r="18" spans="1:5" ht="16.5" customHeight="1" x14ac:dyDescent="0.3">
      <c r="A18" s="424" t="s">
        <v>3</v>
      </c>
      <c r="B18" s="425" t="s">
        <v>127</v>
      </c>
      <c r="C18" s="423"/>
      <c r="D18" s="423"/>
      <c r="E18" s="423"/>
    </row>
    <row r="19" spans="1:5" ht="16.5" customHeight="1" x14ac:dyDescent="0.3">
      <c r="A19" s="424" t="s">
        <v>5</v>
      </c>
      <c r="B19" s="426">
        <v>86.6</v>
      </c>
      <c r="C19" s="423"/>
      <c r="D19" s="423"/>
      <c r="E19" s="423"/>
    </row>
    <row r="20" spans="1:5" ht="16.5" customHeight="1" x14ac:dyDescent="0.3">
      <c r="A20" s="421" t="s">
        <v>7</v>
      </c>
      <c r="B20" s="426">
        <v>23.96</v>
      </c>
      <c r="C20" s="423"/>
      <c r="D20" s="423"/>
      <c r="E20" s="423"/>
    </row>
    <row r="21" spans="1:5" ht="16.5" customHeight="1" x14ac:dyDescent="0.3">
      <c r="A21" s="421" t="s">
        <v>9</v>
      </c>
      <c r="B21" s="427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8" t="s">
        <v>12</v>
      </c>
      <c r="B23" s="429" t="s">
        <v>13</v>
      </c>
      <c r="C23" s="428" t="s">
        <v>14</v>
      </c>
      <c r="D23" s="428" t="s">
        <v>15</v>
      </c>
      <c r="E23" s="428" t="s">
        <v>16</v>
      </c>
    </row>
    <row r="24" spans="1:5" ht="16.5" customHeight="1" x14ac:dyDescent="0.3">
      <c r="A24" s="430">
        <v>1</v>
      </c>
      <c r="B24" s="431">
        <v>18797798</v>
      </c>
      <c r="C24" s="431">
        <v>6752.95</v>
      </c>
      <c r="D24" s="432">
        <v>1.1000000000000001</v>
      </c>
      <c r="E24" s="433">
        <v>3.93</v>
      </c>
    </row>
    <row r="25" spans="1:5" ht="16.5" customHeight="1" x14ac:dyDescent="0.3">
      <c r="A25" s="430">
        <v>2</v>
      </c>
      <c r="B25" s="431">
        <v>18847483</v>
      </c>
      <c r="C25" s="431">
        <v>7492.35</v>
      </c>
      <c r="D25" s="432">
        <v>1.1200000000000001</v>
      </c>
      <c r="E25" s="432">
        <v>3.93</v>
      </c>
    </row>
    <row r="26" spans="1:5" ht="16.5" customHeight="1" x14ac:dyDescent="0.3">
      <c r="A26" s="430">
        <v>3</v>
      </c>
      <c r="B26" s="431">
        <v>18870478</v>
      </c>
      <c r="C26" s="431">
        <v>7165.69</v>
      </c>
      <c r="D26" s="432">
        <v>1.1100000000000001</v>
      </c>
      <c r="E26" s="432">
        <v>3.93</v>
      </c>
    </row>
    <row r="27" spans="1:5" ht="16.5" customHeight="1" x14ac:dyDescent="0.3">
      <c r="A27" s="430">
        <v>4</v>
      </c>
      <c r="B27" s="431">
        <v>18731309</v>
      </c>
      <c r="C27" s="431">
        <v>7168.71</v>
      </c>
      <c r="D27" s="432">
        <v>1.1000000000000001</v>
      </c>
      <c r="E27" s="432">
        <v>3.93</v>
      </c>
    </row>
    <row r="28" spans="1:5" ht="16.5" customHeight="1" x14ac:dyDescent="0.3">
      <c r="A28" s="430">
        <v>5</v>
      </c>
      <c r="B28" s="431">
        <v>18877543</v>
      </c>
      <c r="C28" s="431">
        <v>7384.84</v>
      </c>
      <c r="D28" s="432">
        <v>1.1299999999999999</v>
      </c>
      <c r="E28" s="432">
        <v>3.92</v>
      </c>
    </row>
    <row r="29" spans="1:5" ht="16.5" customHeight="1" x14ac:dyDescent="0.3">
      <c r="A29" s="430">
        <v>6</v>
      </c>
      <c r="B29" s="434">
        <v>18854279</v>
      </c>
      <c r="C29" s="434">
        <v>7408.73</v>
      </c>
      <c r="D29" s="435">
        <v>1.1100000000000001</v>
      </c>
      <c r="E29" s="435">
        <v>3.92</v>
      </c>
    </row>
    <row r="30" spans="1:5" ht="16.5" customHeight="1" x14ac:dyDescent="0.3">
      <c r="A30" s="436" t="s">
        <v>17</v>
      </c>
      <c r="B30" s="437">
        <f>AVERAGE(B24:B29)</f>
        <v>18829815</v>
      </c>
      <c r="C30" s="438">
        <f>AVERAGE(C24:C29)</f>
        <v>7228.8783333333313</v>
      </c>
      <c r="D30" s="439">
        <f>AVERAGE(D24:D29)</f>
        <v>1.1116666666666666</v>
      </c>
      <c r="E30" s="439">
        <f>AVERAGE(E24:E29)</f>
        <v>3.9266666666666672</v>
      </c>
    </row>
    <row r="31" spans="1:5" ht="16.5" customHeight="1" x14ac:dyDescent="0.3">
      <c r="A31" s="440" t="s">
        <v>18</v>
      </c>
      <c r="B31" s="441">
        <f>(STDEV(B24:B29)/B30)</f>
        <v>2.9636145743629897E-3</v>
      </c>
      <c r="C31" s="442"/>
      <c r="D31" s="442"/>
      <c r="E31" s="443"/>
    </row>
    <row r="32" spans="1:5" s="417" customFormat="1" ht="16.5" customHeight="1" x14ac:dyDescent="0.3">
      <c r="A32" s="444" t="s">
        <v>19</v>
      </c>
      <c r="B32" s="445">
        <f>COUNT(B24:B29)</f>
        <v>6</v>
      </c>
      <c r="C32" s="446"/>
      <c r="D32" s="447"/>
      <c r="E32" s="448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9" t="s">
        <v>21</v>
      </c>
      <c r="C34" s="450"/>
      <c r="D34" s="450"/>
      <c r="E34" s="450"/>
    </row>
    <row r="35" spans="1:5" ht="16.5" customHeight="1" x14ac:dyDescent="0.3">
      <c r="A35" s="424"/>
      <c r="B35" s="449" t="s">
        <v>22</v>
      </c>
      <c r="C35" s="450"/>
      <c r="D35" s="450"/>
      <c r="E35" s="450"/>
    </row>
    <row r="36" spans="1:5" ht="16.5" customHeight="1" x14ac:dyDescent="0.3">
      <c r="A36" s="424"/>
      <c r="B36" s="449" t="s">
        <v>23</v>
      </c>
      <c r="C36" s="450"/>
      <c r="D36" s="450"/>
      <c r="E36" s="450"/>
    </row>
    <row r="37" spans="1:5" ht="15.75" customHeight="1" x14ac:dyDescent="0.3">
      <c r="A37" s="423"/>
      <c r="B37" s="451" t="s">
        <v>127</v>
      </c>
      <c r="C37" s="423"/>
      <c r="D37" s="423"/>
      <c r="E37" s="423"/>
    </row>
    <row r="38" spans="1:5" ht="16.5" customHeight="1" x14ac:dyDescent="0.3">
      <c r="A38" s="419" t="s">
        <v>1</v>
      </c>
      <c r="B38" s="420" t="s">
        <v>128</v>
      </c>
    </row>
    <row r="39" spans="1:5" ht="16.5" customHeight="1" x14ac:dyDescent="0.3">
      <c r="A39" s="424" t="s">
        <v>3</v>
      </c>
      <c r="B39" s="421" t="s">
        <v>124</v>
      </c>
      <c r="C39" s="423"/>
      <c r="D39" s="423"/>
      <c r="E39" s="423"/>
    </row>
    <row r="40" spans="1:5" ht="16.5" customHeight="1" x14ac:dyDescent="0.3">
      <c r="A40" s="424" t="s">
        <v>5</v>
      </c>
      <c r="B40" s="426">
        <v>96.4</v>
      </c>
      <c r="C40" s="423"/>
      <c r="D40" s="423"/>
      <c r="E40" s="423"/>
    </row>
    <row r="41" spans="1:5" ht="16.5" customHeight="1" x14ac:dyDescent="0.3">
      <c r="A41" s="421" t="s">
        <v>7</v>
      </c>
      <c r="B41" s="426">
        <v>23.1</v>
      </c>
      <c r="C41" s="423"/>
      <c r="D41" s="423"/>
      <c r="E41" s="423"/>
    </row>
    <row r="42" spans="1:5" ht="16.5" customHeight="1" x14ac:dyDescent="0.3">
      <c r="A42" s="421" t="s">
        <v>9</v>
      </c>
      <c r="B42" s="427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12</v>
      </c>
      <c r="B44" s="429" t="s">
        <v>13</v>
      </c>
      <c r="C44" s="428" t="s">
        <v>14</v>
      </c>
      <c r="D44" s="428" t="s">
        <v>15</v>
      </c>
      <c r="E44" s="428" t="s">
        <v>16</v>
      </c>
    </row>
    <row r="45" spans="1:5" ht="16.5" customHeight="1" x14ac:dyDescent="0.3">
      <c r="A45" s="430">
        <v>1</v>
      </c>
      <c r="B45" s="431">
        <v>54897024</v>
      </c>
      <c r="C45" s="431">
        <v>6315.21</v>
      </c>
      <c r="D45" s="432">
        <v>1.06</v>
      </c>
      <c r="E45" s="433">
        <v>5.74</v>
      </c>
    </row>
    <row r="46" spans="1:5" ht="16.5" customHeight="1" x14ac:dyDescent="0.3">
      <c r="A46" s="430">
        <v>2</v>
      </c>
      <c r="B46" s="431">
        <v>54649940</v>
      </c>
      <c r="C46" s="431">
        <v>5808.15</v>
      </c>
      <c r="D46" s="432">
        <v>1.04</v>
      </c>
      <c r="E46" s="432">
        <v>5.74</v>
      </c>
    </row>
    <row r="47" spans="1:5" ht="16.5" customHeight="1" x14ac:dyDescent="0.3">
      <c r="A47" s="430">
        <v>3</v>
      </c>
      <c r="B47" s="431">
        <v>54908859</v>
      </c>
      <c r="C47" s="431">
        <v>6114.82</v>
      </c>
      <c r="D47" s="432">
        <v>1.04</v>
      </c>
      <c r="E47" s="432">
        <v>5.74</v>
      </c>
    </row>
    <row r="48" spans="1:5" ht="16.5" customHeight="1" x14ac:dyDescent="0.3">
      <c r="A48" s="430">
        <v>4</v>
      </c>
      <c r="B48" s="431">
        <v>54491641</v>
      </c>
      <c r="C48" s="431">
        <v>6120.91</v>
      </c>
      <c r="D48" s="432">
        <v>1.05</v>
      </c>
      <c r="E48" s="432">
        <v>5.74</v>
      </c>
    </row>
    <row r="49" spans="1:7" ht="16.5" customHeight="1" x14ac:dyDescent="0.3">
      <c r="A49" s="430">
        <v>5</v>
      </c>
      <c r="B49" s="431">
        <v>54824952</v>
      </c>
      <c r="C49" s="431">
        <v>6242.11</v>
      </c>
      <c r="D49" s="432">
        <v>1.1299999999999999</v>
      </c>
      <c r="E49" s="432">
        <v>5.73</v>
      </c>
    </row>
    <row r="50" spans="1:7" ht="16.5" customHeight="1" x14ac:dyDescent="0.3">
      <c r="A50" s="430">
        <v>6</v>
      </c>
      <c r="B50" s="434">
        <v>54869338</v>
      </c>
      <c r="C50" s="434">
        <v>6258.24</v>
      </c>
      <c r="D50" s="435">
        <v>1.05</v>
      </c>
      <c r="E50" s="435">
        <v>5.73</v>
      </c>
    </row>
    <row r="51" spans="1:7" ht="16.5" customHeight="1" x14ac:dyDescent="0.3">
      <c r="A51" s="436" t="s">
        <v>17</v>
      </c>
      <c r="B51" s="437">
        <f>AVERAGE(B45:B50)</f>
        <v>54773625.666666664</v>
      </c>
      <c r="C51" s="438">
        <f>AVERAGE(C45:C50)</f>
        <v>6143.2400000000007</v>
      </c>
      <c r="D51" s="439">
        <f>AVERAGE(D45:D50)</f>
        <v>1.0616666666666668</v>
      </c>
      <c r="E51" s="439">
        <f>AVERAGE(E45:E50)</f>
        <v>5.7366666666666672</v>
      </c>
    </row>
    <row r="52" spans="1:7" ht="16.5" customHeight="1" x14ac:dyDescent="0.3">
      <c r="A52" s="440" t="s">
        <v>18</v>
      </c>
      <c r="B52" s="441">
        <f>(STDEV(B45:B50)/B51)</f>
        <v>3.0563260480438877E-3</v>
      </c>
      <c r="C52" s="442"/>
      <c r="D52" s="442"/>
      <c r="E52" s="443"/>
    </row>
    <row r="53" spans="1:7" s="417" customFormat="1" ht="16.5" customHeight="1" x14ac:dyDescent="0.3">
      <c r="A53" s="444" t="s">
        <v>19</v>
      </c>
      <c r="B53" s="445">
        <f>COUNT(B45:B50)</f>
        <v>6</v>
      </c>
      <c r="C53" s="446"/>
      <c r="D53" s="447"/>
      <c r="E53" s="448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20</v>
      </c>
      <c r="B55" s="449" t="s">
        <v>21</v>
      </c>
      <c r="C55" s="450"/>
      <c r="D55" s="450"/>
      <c r="E55" s="450"/>
    </row>
    <row r="56" spans="1:7" ht="16.5" customHeight="1" x14ac:dyDescent="0.3">
      <c r="A56" s="424"/>
      <c r="B56" s="449" t="s">
        <v>22</v>
      </c>
      <c r="C56" s="450"/>
      <c r="D56" s="450"/>
      <c r="E56" s="450"/>
    </row>
    <row r="57" spans="1:7" ht="16.5" customHeight="1" x14ac:dyDescent="0.3">
      <c r="A57" s="424"/>
      <c r="B57" s="449" t="s">
        <v>23</v>
      </c>
      <c r="C57" s="450"/>
      <c r="D57" s="450"/>
      <c r="E57" s="450"/>
    </row>
    <row r="58" spans="1:7" ht="14.25" customHeight="1" thickBot="1" x14ac:dyDescent="0.3">
      <c r="A58" s="452"/>
      <c r="B58" s="453"/>
      <c r="D58" s="454"/>
      <c r="F58" s="455"/>
      <c r="G58" s="455"/>
    </row>
    <row r="59" spans="1:7" ht="15" customHeight="1" x14ac:dyDescent="0.3">
      <c r="B59" s="479" t="s">
        <v>25</v>
      </c>
      <c r="C59" s="479"/>
      <c r="E59" s="456" t="s">
        <v>26</v>
      </c>
      <c r="F59" s="457"/>
      <c r="G59" s="456" t="s">
        <v>27</v>
      </c>
    </row>
    <row r="60" spans="1:7" ht="15" customHeight="1" x14ac:dyDescent="0.3">
      <c r="A60" s="458" t="s">
        <v>28</v>
      </c>
      <c r="B60" s="459"/>
      <c r="C60" s="459"/>
      <c r="E60" s="459"/>
      <c r="G60" s="459"/>
    </row>
    <row r="61" spans="1:7" ht="15" customHeight="1" x14ac:dyDescent="0.3">
      <c r="A61" s="458" t="s">
        <v>29</v>
      </c>
      <c r="B61" s="460"/>
      <c r="C61" s="460"/>
      <c r="E61" s="460"/>
      <c r="G61" s="4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5" sqref="A15:G61"/>
    </sheetView>
  </sheetViews>
  <sheetFormatPr defaultRowHeight="13.5" x14ac:dyDescent="0.25"/>
  <cols>
    <col min="1" max="1" width="27.5703125" style="417" customWidth="1"/>
    <col min="2" max="2" width="20.42578125" style="417" customWidth="1"/>
    <col min="3" max="3" width="31.85546875" style="417" customWidth="1"/>
    <col min="4" max="4" width="25.85546875" style="417" customWidth="1"/>
    <col min="5" max="5" width="25.7109375" style="417" customWidth="1"/>
    <col min="6" max="6" width="23.140625" style="417" customWidth="1"/>
    <col min="7" max="7" width="28.42578125" style="417" customWidth="1"/>
    <col min="8" max="8" width="21.5703125" style="417" customWidth="1"/>
    <col min="9" max="9" width="9.140625" style="417" customWidth="1"/>
    <col min="10" max="16384" width="9.140625" style="455"/>
  </cols>
  <sheetData>
    <row r="14" spans="1:6" ht="15" customHeight="1" x14ac:dyDescent="0.3">
      <c r="A14" s="416"/>
      <c r="C14" s="418"/>
      <c r="F14" s="418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19" t="s">
        <v>1</v>
      </c>
      <c r="B16" s="420" t="s">
        <v>129</v>
      </c>
    </row>
    <row r="17" spans="1:5" ht="16.5" customHeight="1" x14ac:dyDescent="0.3">
      <c r="A17" s="421" t="s">
        <v>2</v>
      </c>
      <c r="B17" s="421" t="s">
        <v>4</v>
      </c>
      <c r="D17" s="422"/>
      <c r="E17" s="423"/>
    </row>
    <row r="18" spans="1:5" ht="16.5" customHeight="1" x14ac:dyDescent="0.3">
      <c r="A18" s="424" t="s">
        <v>3</v>
      </c>
      <c r="B18" s="425" t="s">
        <v>127</v>
      </c>
      <c r="C18" s="423"/>
      <c r="D18" s="423"/>
      <c r="E18" s="423"/>
    </row>
    <row r="19" spans="1:5" ht="16.5" customHeight="1" x14ac:dyDescent="0.3">
      <c r="A19" s="424" t="s">
        <v>5</v>
      </c>
      <c r="B19" s="426">
        <v>86.6</v>
      </c>
      <c r="C19" s="423"/>
      <c r="D19" s="423"/>
      <c r="E19" s="423"/>
    </row>
    <row r="20" spans="1:5" ht="16.5" customHeight="1" x14ac:dyDescent="0.3">
      <c r="A20" s="421" t="s">
        <v>7</v>
      </c>
      <c r="B20" s="426">
        <v>23.96</v>
      </c>
      <c r="C20" s="423"/>
      <c r="D20" s="423"/>
      <c r="E20" s="423"/>
    </row>
    <row r="21" spans="1:5" ht="16.5" customHeight="1" x14ac:dyDescent="0.3">
      <c r="A21" s="421" t="s">
        <v>9</v>
      </c>
      <c r="B21" s="427">
        <v>0.5</v>
      </c>
      <c r="C21" s="423"/>
      <c r="D21" s="423"/>
      <c r="E21" s="423"/>
    </row>
    <row r="22" spans="1:5" ht="15.75" customHeight="1" x14ac:dyDescent="0.25">
      <c r="A22" s="423"/>
      <c r="B22" s="423"/>
      <c r="C22" s="423"/>
      <c r="D22" s="423"/>
      <c r="E22" s="423"/>
    </row>
    <row r="23" spans="1:5" ht="16.5" customHeight="1" x14ac:dyDescent="0.3">
      <c r="A23" s="428" t="s">
        <v>12</v>
      </c>
      <c r="B23" s="429" t="s">
        <v>13</v>
      </c>
      <c r="C23" s="428" t="s">
        <v>14</v>
      </c>
      <c r="D23" s="428" t="s">
        <v>15</v>
      </c>
      <c r="E23" s="428" t="s">
        <v>16</v>
      </c>
    </row>
    <row r="24" spans="1:5" ht="16.5" customHeight="1" x14ac:dyDescent="0.3">
      <c r="A24" s="430">
        <v>1</v>
      </c>
      <c r="B24" s="431">
        <v>49622398</v>
      </c>
      <c r="C24" s="431">
        <v>9571</v>
      </c>
      <c r="D24" s="432">
        <v>1.2</v>
      </c>
      <c r="E24" s="433">
        <v>4.5</v>
      </c>
    </row>
    <row r="25" spans="1:5" ht="16.5" customHeight="1" x14ac:dyDescent="0.3">
      <c r="A25" s="430">
        <v>2</v>
      </c>
      <c r="B25" s="431">
        <v>48777801</v>
      </c>
      <c r="C25" s="431">
        <v>9517</v>
      </c>
      <c r="D25" s="432">
        <v>1.2</v>
      </c>
      <c r="E25" s="432">
        <v>4.4000000000000004</v>
      </c>
    </row>
    <row r="26" spans="1:5" ht="16.5" customHeight="1" x14ac:dyDescent="0.3">
      <c r="A26" s="430">
        <v>3</v>
      </c>
      <c r="B26" s="431">
        <v>48323247</v>
      </c>
      <c r="C26" s="431">
        <v>9326.1</v>
      </c>
      <c r="D26" s="432">
        <v>1.2</v>
      </c>
      <c r="E26" s="432">
        <v>4.3</v>
      </c>
    </row>
    <row r="27" spans="1:5" ht="16.5" customHeight="1" x14ac:dyDescent="0.3">
      <c r="A27" s="430">
        <v>4</v>
      </c>
      <c r="B27" s="431">
        <v>49622398</v>
      </c>
      <c r="C27" s="431">
        <v>9571</v>
      </c>
      <c r="D27" s="432">
        <v>1.2</v>
      </c>
      <c r="E27" s="432">
        <v>4.5</v>
      </c>
    </row>
    <row r="28" spans="1:5" ht="16.5" customHeight="1" x14ac:dyDescent="0.3">
      <c r="A28" s="430">
        <v>5</v>
      </c>
      <c r="B28" s="431">
        <v>48723771</v>
      </c>
      <c r="C28" s="431">
        <v>9841.6</v>
      </c>
      <c r="D28" s="432">
        <v>1.1000000000000001</v>
      </c>
      <c r="E28" s="432">
        <v>4.5999999999999996</v>
      </c>
    </row>
    <row r="29" spans="1:5" ht="16.5" customHeight="1" x14ac:dyDescent="0.3">
      <c r="A29" s="430">
        <v>6</v>
      </c>
      <c r="B29" s="434">
        <v>49344139</v>
      </c>
      <c r="C29" s="462" t="s">
        <v>130</v>
      </c>
      <c r="D29" s="435">
        <v>1.2</v>
      </c>
      <c r="E29" s="435">
        <v>4.5</v>
      </c>
    </row>
    <row r="30" spans="1:5" ht="16.5" customHeight="1" x14ac:dyDescent="0.3">
      <c r="A30" s="436" t="s">
        <v>17</v>
      </c>
      <c r="B30" s="437">
        <f>AVERAGE(B24:B29)</f>
        <v>49068959</v>
      </c>
      <c r="C30" s="438">
        <f>AVERAGE(C24:C29)</f>
        <v>9565.34</v>
      </c>
      <c r="D30" s="439">
        <f>AVERAGE(D24:D29)</f>
        <v>1.1833333333333333</v>
      </c>
      <c r="E30" s="439">
        <f>AVERAGE(E24:E29)</f>
        <v>4.4666666666666659</v>
      </c>
    </row>
    <row r="31" spans="1:5" ht="16.5" customHeight="1" x14ac:dyDescent="0.3">
      <c r="A31" s="440" t="s">
        <v>18</v>
      </c>
      <c r="B31" s="441">
        <f>(STDEV(B24:B29)/B30)</f>
        <v>1.0968356510689819E-2</v>
      </c>
      <c r="C31" s="442"/>
      <c r="D31" s="442"/>
      <c r="E31" s="443"/>
    </row>
    <row r="32" spans="1:5" s="417" customFormat="1" ht="16.5" customHeight="1" x14ac:dyDescent="0.3">
      <c r="A32" s="444" t="s">
        <v>19</v>
      </c>
      <c r="B32" s="445">
        <f>COUNT(B24:B29)</f>
        <v>6</v>
      </c>
      <c r="C32" s="446"/>
      <c r="D32" s="447"/>
      <c r="E32" s="448"/>
    </row>
    <row r="33" spans="1:5" s="417" customFormat="1" ht="15.75" customHeight="1" x14ac:dyDescent="0.25">
      <c r="A33" s="423"/>
      <c r="B33" s="423"/>
      <c r="C33" s="423"/>
      <c r="D33" s="423"/>
      <c r="E33" s="423"/>
    </row>
    <row r="34" spans="1:5" s="417" customFormat="1" ht="16.5" customHeight="1" x14ac:dyDescent="0.3">
      <c r="A34" s="424" t="s">
        <v>20</v>
      </c>
      <c r="B34" s="449" t="s">
        <v>21</v>
      </c>
      <c r="C34" s="450"/>
      <c r="D34" s="450"/>
      <c r="E34" s="450"/>
    </row>
    <row r="35" spans="1:5" ht="16.5" customHeight="1" x14ac:dyDescent="0.3">
      <c r="A35" s="424"/>
      <c r="B35" s="449" t="s">
        <v>22</v>
      </c>
      <c r="C35" s="450"/>
      <c r="D35" s="450"/>
      <c r="E35" s="450"/>
    </row>
    <row r="36" spans="1:5" ht="16.5" customHeight="1" x14ac:dyDescent="0.3">
      <c r="A36" s="424"/>
      <c r="B36" s="449" t="s">
        <v>23</v>
      </c>
      <c r="C36" s="450"/>
      <c r="D36" s="450"/>
      <c r="E36" s="450"/>
    </row>
    <row r="37" spans="1:5" ht="15.75" customHeight="1" x14ac:dyDescent="0.3">
      <c r="A37" s="423"/>
      <c r="B37" s="451" t="s">
        <v>127</v>
      </c>
      <c r="C37" s="423"/>
      <c r="D37" s="423"/>
      <c r="E37" s="423"/>
    </row>
    <row r="38" spans="1:5" ht="16.5" customHeight="1" x14ac:dyDescent="0.3">
      <c r="A38" s="419" t="s">
        <v>1</v>
      </c>
      <c r="B38" s="463" t="s">
        <v>24</v>
      </c>
    </row>
    <row r="39" spans="1:5" ht="16.5" customHeight="1" x14ac:dyDescent="0.3">
      <c r="A39" s="424" t="s">
        <v>3</v>
      </c>
      <c r="B39" s="421" t="s">
        <v>124</v>
      </c>
      <c r="C39" s="423"/>
      <c r="D39" s="423"/>
      <c r="E39" s="423"/>
    </row>
    <row r="40" spans="1:5" ht="16.5" customHeight="1" x14ac:dyDescent="0.3">
      <c r="A40" s="424" t="s">
        <v>5</v>
      </c>
      <c r="B40" s="426">
        <v>96.4</v>
      </c>
      <c r="C40" s="423"/>
      <c r="D40" s="423"/>
      <c r="E40" s="423"/>
    </row>
    <row r="41" spans="1:5" ht="16.5" customHeight="1" x14ac:dyDescent="0.3">
      <c r="A41" s="421" t="s">
        <v>7</v>
      </c>
      <c r="B41" s="426">
        <v>23.1</v>
      </c>
      <c r="C41" s="423"/>
      <c r="D41" s="423"/>
      <c r="E41" s="423"/>
    </row>
    <row r="42" spans="1:5" ht="16.5" customHeight="1" x14ac:dyDescent="0.3">
      <c r="A42" s="421" t="s">
        <v>9</v>
      </c>
      <c r="B42" s="427">
        <v>0.125</v>
      </c>
      <c r="C42" s="423"/>
      <c r="D42" s="423"/>
      <c r="E42" s="423"/>
    </row>
    <row r="43" spans="1:5" ht="15.75" customHeight="1" x14ac:dyDescent="0.25">
      <c r="A43" s="423"/>
      <c r="B43" s="423"/>
      <c r="C43" s="423"/>
      <c r="D43" s="423"/>
      <c r="E43" s="423"/>
    </row>
    <row r="44" spans="1:5" ht="16.5" customHeight="1" x14ac:dyDescent="0.3">
      <c r="A44" s="428" t="s">
        <v>12</v>
      </c>
      <c r="B44" s="429" t="s">
        <v>13</v>
      </c>
      <c r="C44" s="428" t="s">
        <v>14</v>
      </c>
      <c r="D44" s="428" t="s">
        <v>15</v>
      </c>
      <c r="E44" s="428" t="s">
        <v>16</v>
      </c>
    </row>
    <row r="45" spans="1:5" ht="16.5" customHeight="1" x14ac:dyDescent="0.3">
      <c r="A45" s="430">
        <v>1</v>
      </c>
      <c r="B45" s="431">
        <v>113104485</v>
      </c>
      <c r="C45" s="431">
        <v>7135.2</v>
      </c>
      <c r="D45" s="432">
        <v>1</v>
      </c>
      <c r="E45" s="433">
        <v>7.8</v>
      </c>
    </row>
    <row r="46" spans="1:5" ht="16.5" customHeight="1" x14ac:dyDescent="0.3">
      <c r="A46" s="430">
        <v>2</v>
      </c>
      <c r="B46" s="431">
        <v>112525467</v>
      </c>
      <c r="C46" s="431">
        <v>7010.6</v>
      </c>
      <c r="D46" s="432">
        <v>1</v>
      </c>
      <c r="E46" s="432">
        <v>7.6</v>
      </c>
    </row>
    <row r="47" spans="1:5" ht="16.5" customHeight="1" x14ac:dyDescent="0.3">
      <c r="A47" s="430">
        <v>3</v>
      </c>
      <c r="B47" s="431">
        <v>108739959</v>
      </c>
      <c r="C47" s="431">
        <v>7012.2</v>
      </c>
      <c r="D47" s="432">
        <v>1</v>
      </c>
      <c r="E47" s="432">
        <v>7.6</v>
      </c>
    </row>
    <row r="48" spans="1:5" ht="16.5" customHeight="1" x14ac:dyDescent="0.3">
      <c r="A48" s="430">
        <v>4</v>
      </c>
      <c r="B48" s="431">
        <v>110031634</v>
      </c>
      <c r="C48" s="431">
        <v>5874.6</v>
      </c>
      <c r="D48" s="432">
        <v>1</v>
      </c>
      <c r="E48" s="432">
        <v>7.5</v>
      </c>
    </row>
    <row r="49" spans="1:7" ht="16.5" customHeight="1" x14ac:dyDescent="0.3">
      <c r="A49" s="430">
        <v>5</v>
      </c>
      <c r="B49" s="431">
        <v>109871362</v>
      </c>
      <c r="C49" s="431">
        <v>6808</v>
      </c>
      <c r="D49" s="432">
        <v>1</v>
      </c>
      <c r="E49" s="432">
        <v>7.4</v>
      </c>
    </row>
    <row r="50" spans="1:7" ht="16.5" customHeight="1" x14ac:dyDescent="0.3">
      <c r="A50" s="430">
        <v>6</v>
      </c>
      <c r="B50" s="434"/>
      <c r="C50" s="434"/>
      <c r="D50" s="435"/>
      <c r="E50" s="435"/>
    </row>
    <row r="51" spans="1:7" ht="16.5" customHeight="1" x14ac:dyDescent="0.3">
      <c r="A51" s="436" t="s">
        <v>17</v>
      </c>
      <c r="B51" s="437">
        <f>AVERAGE(B45:B50)</f>
        <v>110854581.40000001</v>
      </c>
      <c r="C51" s="438">
        <f>AVERAGE(C45:C50)</f>
        <v>6768.12</v>
      </c>
      <c r="D51" s="439">
        <f>AVERAGE(D45:D50)</f>
        <v>1</v>
      </c>
      <c r="E51" s="439">
        <f>AVERAGE(E45:E50)</f>
        <v>7.58</v>
      </c>
    </row>
    <row r="52" spans="1:7" ht="16.5" customHeight="1" x14ac:dyDescent="0.3">
      <c r="A52" s="440" t="s">
        <v>18</v>
      </c>
      <c r="B52" s="441">
        <f>(STDEV(B45:B50)/B51)</f>
        <v>1.6858038119941625E-2</v>
      </c>
      <c r="C52" s="442"/>
      <c r="D52" s="442"/>
      <c r="E52" s="443"/>
    </row>
    <row r="53" spans="1:7" s="417" customFormat="1" ht="16.5" customHeight="1" x14ac:dyDescent="0.3">
      <c r="A53" s="444" t="s">
        <v>19</v>
      </c>
      <c r="B53" s="445">
        <f>COUNT(B45:B50)</f>
        <v>5</v>
      </c>
      <c r="C53" s="446"/>
      <c r="D53" s="447"/>
      <c r="E53" s="448"/>
    </row>
    <row r="54" spans="1:7" s="417" customFormat="1" ht="15.75" customHeight="1" x14ac:dyDescent="0.25">
      <c r="A54" s="423"/>
      <c r="B54" s="423"/>
      <c r="C54" s="423"/>
      <c r="D54" s="423"/>
      <c r="E54" s="423"/>
    </row>
    <row r="55" spans="1:7" s="417" customFormat="1" ht="16.5" customHeight="1" x14ac:dyDescent="0.3">
      <c r="A55" s="424" t="s">
        <v>20</v>
      </c>
      <c r="B55" s="449" t="s">
        <v>21</v>
      </c>
      <c r="C55" s="450"/>
      <c r="D55" s="450"/>
      <c r="E55" s="450"/>
    </row>
    <row r="56" spans="1:7" ht="16.5" customHeight="1" x14ac:dyDescent="0.3">
      <c r="A56" s="424"/>
      <c r="B56" s="449" t="s">
        <v>22</v>
      </c>
      <c r="C56" s="450"/>
      <c r="D56" s="450"/>
      <c r="E56" s="450"/>
    </row>
    <row r="57" spans="1:7" ht="16.5" customHeight="1" x14ac:dyDescent="0.3">
      <c r="A57" s="424"/>
      <c r="B57" s="449" t="s">
        <v>23</v>
      </c>
      <c r="C57" s="450"/>
      <c r="D57" s="450"/>
      <c r="E57" s="450"/>
    </row>
    <row r="58" spans="1:7" ht="14.25" customHeight="1" thickBot="1" x14ac:dyDescent="0.3">
      <c r="A58" s="452"/>
      <c r="B58" s="453"/>
      <c r="D58" s="454"/>
      <c r="F58" s="455"/>
      <c r="G58" s="455"/>
    </row>
    <row r="59" spans="1:7" ht="15" customHeight="1" x14ac:dyDescent="0.3">
      <c r="B59" s="479" t="s">
        <v>25</v>
      </c>
      <c r="C59" s="479"/>
      <c r="E59" s="456" t="s">
        <v>26</v>
      </c>
      <c r="F59" s="457"/>
      <c r="G59" s="456" t="s">
        <v>27</v>
      </c>
    </row>
    <row r="60" spans="1:7" ht="15" customHeight="1" x14ac:dyDescent="0.3">
      <c r="A60" s="458" t="s">
        <v>28</v>
      </c>
      <c r="B60" s="459"/>
      <c r="C60" s="459"/>
      <c r="E60" s="459"/>
      <c r="G60" s="459"/>
    </row>
    <row r="61" spans="1:7" ht="15" customHeight="1" x14ac:dyDescent="0.3">
      <c r="A61" s="458" t="s">
        <v>29</v>
      </c>
      <c r="B61" s="460"/>
      <c r="C61" s="460"/>
      <c r="E61" s="460"/>
      <c r="G61" s="46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3" t="s">
        <v>30</v>
      </c>
      <c r="B11" s="484"/>
      <c r="C11" s="484"/>
      <c r="D11" s="484"/>
      <c r="E11" s="484"/>
      <c r="F11" s="485"/>
      <c r="G11" s="43"/>
    </row>
    <row r="12" spans="1:7" ht="16.5" customHeight="1" x14ac:dyDescent="0.3">
      <c r="A12" s="482" t="s">
        <v>31</v>
      </c>
      <c r="B12" s="482"/>
      <c r="C12" s="482"/>
      <c r="D12" s="482"/>
      <c r="E12" s="482"/>
      <c r="F12" s="482"/>
      <c r="G12" s="42"/>
    </row>
    <row r="14" spans="1:7" ht="16.5" customHeight="1" x14ac:dyDescent="0.3">
      <c r="A14" s="487" t="s">
        <v>32</v>
      </c>
      <c r="B14" s="487"/>
      <c r="C14" s="12" t="s">
        <v>4</v>
      </c>
    </row>
    <row r="15" spans="1:7" ht="16.5" customHeight="1" x14ac:dyDescent="0.3">
      <c r="A15" s="487" t="s">
        <v>33</v>
      </c>
      <c r="B15" s="487"/>
      <c r="C15" s="12" t="s">
        <v>6</v>
      </c>
    </row>
    <row r="16" spans="1:7" ht="16.5" customHeight="1" x14ac:dyDescent="0.3">
      <c r="A16" s="487" t="s">
        <v>34</v>
      </c>
      <c r="B16" s="487"/>
      <c r="C16" s="12" t="s">
        <v>8</v>
      </c>
    </row>
    <row r="17" spans="1:5" ht="16.5" customHeight="1" x14ac:dyDescent="0.3">
      <c r="A17" s="487" t="s">
        <v>35</v>
      </c>
      <c r="B17" s="487"/>
      <c r="C17" s="12" t="s">
        <v>10</v>
      </c>
    </row>
    <row r="18" spans="1:5" ht="16.5" customHeight="1" x14ac:dyDescent="0.3">
      <c r="A18" s="487" t="s">
        <v>36</v>
      </c>
      <c r="B18" s="487"/>
      <c r="C18" s="49" t="s">
        <v>11</v>
      </c>
    </row>
    <row r="19" spans="1:5" ht="16.5" customHeight="1" x14ac:dyDescent="0.3">
      <c r="A19" s="487" t="s">
        <v>37</v>
      </c>
      <c r="B19" s="487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82" t="s">
        <v>1</v>
      </c>
      <c r="B21" s="482"/>
      <c r="C21" s="11" t="s">
        <v>38</v>
      </c>
      <c r="D21" s="18"/>
    </row>
    <row r="22" spans="1:5" ht="15.75" customHeight="1" x14ac:dyDescent="0.3">
      <c r="A22" s="486"/>
      <c r="B22" s="486"/>
      <c r="C22" s="9"/>
      <c r="D22" s="486"/>
      <c r="E22" s="486"/>
    </row>
    <row r="23" spans="1:5" ht="33.75" customHeight="1" x14ac:dyDescent="0.3">
      <c r="C23" s="38" t="s">
        <v>39</v>
      </c>
      <c r="D23" s="37" t="s">
        <v>40</v>
      </c>
      <c r="E23" s="4"/>
    </row>
    <row r="24" spans="1:5" ht="15.75" customHeight="1" x14ac:dyDescent="0.3">
      <c r="C24" s="47">
        <v>699.91</v>
      </c>
      <c r="D24" s="39">
        <f t="shared" ref="D24:D43" si="0">(C24-$C$46)/$C$46</f>
        <v>-7.9037713009186706E-3</v>
      </c>
      <c r="E24" s="5"/>
    </row>
    <row r="25" spans="1:5" ht="15.75" customHeight="1" x14ac:dyDescent="0.3">
      <c r="C25" s="47">
        <v>719.88</v>
      </c>
      <c r="D25" s="40">
        <f t="shared" si="0"/>
        <v>2.0402956259940128E-2</v>
      </c>
      <c r="E25" s="5"/>
    </row>
    <row r="26" spans="1:5" ht="15.75" customHeight="1" x14ac:dyDescent="0.3">
      <c r="C26" s="47">
        <v>718.68</v>
      </c>
      <c r="D26" s="40">
        <f t="shared" si="0"/>
        <v>1.8702001173659118E-2</v>
      </c>
      <c r="E26" s="5"/>
    </row>
    <row r="27" spans="1:5" ht="15.75" customHeight="1" x14ac:dyDescent="0.3">
      <c r="C27" s="47">
        <v>692.64</v>
      </c>
      <c r="D27" s="40">
        <f t="shared" si="0"/>
        <v>-1.8208724198637383E-2</v>
      </c>
      <c r="E27" s="5"/>
    </row>
    <row r="28" spans="1:5" ht="15.75" customHeight="1" x14ac:dyDescent="0.3">
      <c r="C28" s="47">
        <v>685.61</v>
      </c>
      <c r="D28" s="40">
        <f t="shared" si="0"/>
        <v>-2.8173486079099891E-2</v>
      </c>
      <c r="E28" s="5"/>
    </row>
    <row r="29" spans="1:5" ht="15.75" customHeight="1" x14ac:dyDescent="0.3">
      <c r="C29" s="47">
        <v>696.79</v>
      </c>
      <c r="D29" s="40">
        <f t="shared" si="0"/>
        <v>-1.2326254525249139E-2</v>
      </c>
      <c r="E29" s="5"/>
    </row>
    <row r="30" spans="1:5" ht="15.75" customHeight="1" x14ac:dyDescent="0.3">
      <c r="C30" s="47">
        <v>714.02</v>
      </c>
      <c r="D30" s="40">
        <f t="shared" si="0"/>
        <v>1.2096625588601485E-2</v>
      </c>
      <c r="E30" s="5"/>
    </row>
    <row r="31" spans="1:5" ht="15.75" customHeight="1" x14ac:dyDescent="0.3">
      <c r="C31" s="47">
        <v>719.59</v>
      </c>
      <c r="D31" s="40">
        <f t="shared" si="0"/>
        <v>1.9991892114088951E-2</v>
      </c>
      <c r="E31" s="5"/>
    </row>
    <row r="32" spans="1:5" ht="15.75" customHeight="1" x14ac:dyDescent="0.3">
      <c r="C32" s="47">
        <v>708.75</v>
      </c>
      <c r="D32" s="40">
        <f t="shared" si="0"/>
        <v>4.6265978346843517E-3</v>
      </c>
      <c r="E32" s="5"/>
    </row>
    <row r="33" spans="1:7" ht="15.75" customHeight="1" x14ac:dyDescent="0.3">
      <c r="C33" s="47">
        <v>702.35</v>
      </c>
      <c r="D33" s="40">
        <f t="shared" si="0"/>
        <v>-4.4451626254806672E-3</v>
      </c>
      <c r="E33" s="5"/>
    </row>
    <row r="34" spans="1:7" ht="15.75" customHeight="1" x14ac:dyDescent="0.3">
      <c r="C34" s="47">
        <v>695.03</v>
      </c>
      <c r="D34" s="40">
        <f t="shared" si="0"/>
        <v>-1.4820988651794516E-2</v>
      </c>
      <c r="E34" s="5"/>
    </row>
    <row r="35" spans="1:7" ht="15.75" customHeight="1" x14ac:dyDescent="0.3">
      <c r="C35" s="47">
        <v>714.05</v>
      </c>
      <c r="D35" s="40">
        <f t="shared" si="0"/>
        <v>1.213914946575847E-2</v>
      </c>
      <c r="E35" s="5"/>
    </row>
    <row r="36" spans="1:7" ht="15.75" customHeight="1" x14ac:dyDescent="0.3">
      <c r="C36" s="47">
        <v>714.3</v>
      </c>
      <c r="D36" s="40">
        <f t="shared" si="0"/>
        <v>1.2493515108733666E-2</v>
      </c>
      <c r="E36" s="5"/>
    </row>
    <row r="37" spans="1:7" ht="15.75" customHeight="1" x14ac:dyDescent="0.3">
      <c r="C37" s="47">
        <v>707.42</v>
      </c>
      <c r="D37" s="40">
        <f t="shared" si="0"/>
        <v>2.7413726140562435E-3</v>
      </c>
      <c r="E37" s="5"/>
    </row>
    <row r="38" spans="1:7" ht="15.75" customHeight="1" x14ac:dyDescent="0.3">
      <c r="C38" s="47">
        <v>707.06</v>
      </c>
      <c r="D38" s="40">
        <f t="shared" si="0"/>
        <v>2.23108608817194E-3</v>
      </c>
      <c r="E38" s="5"/>
    </row>
    <row r="39" spans="1:7" ht="15.75" customHeight="1" x14ac:dyDescent="0.3">
      <c r="C39" s="47">
        <v>708.79</v>
      </c>
      <c r="D39" s="40">
        <f t="shared" si="0"/>
        <v>4.6832963375603312E-3</v>
      </c>
      <c r="E39" s="5"/>
    </row>
    <row r="40" spans="1:7" ht="15.75" customHeight="1" x14ac:dyDescent="0.3">
      <c r="C40" s="47">
        <v>694.3</v>
      </c>
      <c r="D40" s="40">
        <f t="shared" si="0"/>
        <v>-1.5855736329282118E-2</v>
      </c>
      <c r="E40" s="5"/>
    </row>
    <row r="41" spans="1:7" ht="15.75" customHeight="1" x14ac:dyDescent="0.3">
      <c r="C41" s="47">
        <v>694.4</v>
      </c>
      <c r="D41" s="40">
        <f t="shared" si="0"/>
        <v>-1.5713990072092007E-2</v>
      </c>
      <c r="E41" s="5"/>
    </row>
    <row r="42" spans="1:7" ht="15.75" customHeight="1" x14ac:dyDescent="0.3">
      <c r="C42" s="47">
        <v>711.26</v>
      </c>
      <c r="D42" s="40">
        <f t="shared" si="0"/>
        <v>8.1844288901553198E-3</v>
      </c>
      <c r="E42" s="5"/>
    </row>
    <row r="43" spans="1:7" ht="16.5" customHeight="1" x14ac:dyDescent="0.3">
      <c r="C43" s="48">
        <v>704.89</v>
      </c>
      <c r="D43" s="41">
        <f t="shared" si="0"/>
        <v>-8.4480769285271437E-4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41</v>
      </c>
      <c r="C45" s="35">
        <f>SUM(C24:C44)</f>
        <v>14109.719999999998</v>
      </c>
      <c r="D45" s="30"/>
      <c r="E45" s="6"/>
    </row>
    <row r="46" spans="1:7" ht="17.25" customHeight="1" x14ac:dyDescent="0.3">
      <c r="B46" s="34" t="s">
        <v>42</v>
      </c>
      <c r="C46" s="36">
        <f>AVERAGE(C24:C44)</f>
        <v>705.48599999999988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42</v>
      </c>
      <c r="C48" s="37" t="s">
        <v>43</v>
      </c>
      <c r="D48" s="32"/>
      <c r="G48" s="10"/>
    </row>
    <row r="49" spans="1:6" ht="17.25" customHeight="1" x14ac:dyDescent="0.3">
      <c r="B49" s="480">
        <f>C46</f>
        <v>705.48599999999988</v>
      </c>
      <c r="C49" s="45">
        <f>-IF(C46&lt;=80,10%,IF(C46&lt;250,7.5%,5%))</f>
        <v>-0.05</v>
      </c>
      <c r="D49" s="33">
        <f>IF(C46&lt;=80,C46*0.9,IF(C46&lt;250,C46*0.925,C46*0.95))</f>
        <v>670.21169999999984</v>
      </c>
    </row>
    <row r="50" spans="1:6" ht="17.25" customHeight="1" x14ac:dyDescent="0.3">
      <c r="B50" s="481"/>
      <c r="C50" s="46">
        <f>IF(C46&lt;=80, 10%, IF(C46&lt;250, 7.5%, 5%))</f>
        <v>0.05</v>
      </c>
      <c r="D50" s="33">
        <f>IF(C46&lt;=80, C46*1.1, IF(C46&lt;250, C46*1.075, C46*1.05))</f>
        <v>740.76029999999992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25</v>
      </c>
      <c r="C52" s="19"/>
      <c r="D52" s="20" t="s">
        <v>26</v>
      </c>
      <c r="E52" s="21"/>
      <c r="F52" s="20" t="s">
        <v>27</v>
      </c>
    </row>
    <row r="53" spans="1:6" ht="34.5" customHeight="1" x14ac:dyDescent="0.3">
      <c r="A53" s="22" t="s">
        <v>28</v>
      </c>
      <c r="B53" s="23"/>
      <c r="C53" s="24"/>
      <c r="D53" s="23"/>
      <c r="E53" s="13"/>
      <c r="F53" s="25"/>
    </row>
    <row r="54" spans="1:6" ht="34.5" customHeight="1" x14ac:dyDescent="0.3">
      <c r="A54" s="22" t="s">
        <v>29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5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5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5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5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5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5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4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4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4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4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4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4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4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3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3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0" zoomScale="60" zoomScaleNormal="40" zoomScalePageLayoutView="50" workbookViewId="0">
      <selection activeCell="E112" sqref="E112"/>
    </sheetView>
  </sheetViews>
  <sheetFormatPr defaultColWidth="9.140625" defaultRowHeight="13.5" x14ac:dyDescent="0.25"/>
  <cols>
    <col min="1" max="1" width="55.42578125" style="536" customWidth="1"/>
    <col min="2" max="2" width="33.7109375" style="536" customWidth="1"/>
    <col min="3" max="3" width="42.28515625" style="536" customWidth="1"/>
    <col min="4" max="4" width="30.5703125" style="536" customWidth="1"/>
    <col min="5" max="5" width="39.85546875" style="536" customWidth="1"/>
    <col min="6" max="6" width="30.7109375" style="536" customWidth="1"/>
    <col min="7" max="7" width="39.85546875" style="536" customWidth="1"/>
    <col min="8" max="8" width="30" style="536" customWidth="1"/>
    <col min="9" max="9" width="30.28515625" style="536" hidden="1" customWidth="1"/>
    <col min="10" max="10" width="30.42578125" style="536" customWidth="1"/>
    <col min="11" max="11" width="21.28515625" style="536" customWidth="1"/>
    <col min="12" max="12" width="9.140625" style="536"/>
    <col min="13" max="16384" width="9.140625" style="543"/>
  </cols>
  <sheetData>
    <row r="1" spans="1:9" ht="18.75" customHeight="1" x14ac:dyDescent="0.25">
      <c r="A1" s="535" t="s">
        <v>44</v>
      </c>
      <c r="B1" s="535"/>
      <c r="C1" s="535"/>
      <c r="D1" s="535"/>
      <c r="E1" s="535"/>
      <c r="F1" s="535"/>
      <c r="G1" s="535"/>
      <c r="H1" s="535"/>
      <c r="I1" s="535"/>
    </row>
    <row r="2" spans="1:9" ht="18.75" customHeight="1" x14ac:dyDescent="0.25">
      <c r="A2" s="535"/>
      <c r="B2" s="535"/>
      <c r="C2" s="535"/>
      <c r="D2" s="535"/>
      <c r="E2" s="535"/>
      <c r="F2" s="535"/>
      <c r="G2" s="535"/>
      <c r="H2" s="535"/>
      <c r="I2" s="535"/>
    </row>
    <row r="3" spans="1:9" ht="18.75" customHeight="1" x14ac:dyDescent="0.25">
      <c r="A3" s="535"/>
      <c r="B3" s="535"/>
      <c r="C3" s="535"/>
      <c r="D3" s="535"/>
      <c r="E3" s="535"/>
      <c r="F3" s="535"/>
      <c r="G3" s="535"/>
      <c r="H3" s="535"/>
      <c r="I3" s="535"/>
    </row>
    <row r="4" spans="1:9" ht="18.75" customHeight="1" x14ac:dyDescent="0.25">
      <c r="A4" s="535"/>
      <c r="B4" s="535"/>
      <c r="C4" s="535"/>
      <c r="D4" s="535"/>
      <c r="E4" s="535"/>
      <c r="F4" s="535"/>
      <c r="G4" s="535"/>
      <c r="H4" s="535"/>
      <c r="I4" s="535"/>
    </row>
    <row r="5" spans="1:9" ht="18.75" customHeight="1" x14ac:dyDescent="0.25">
      <c r="A5" s="535"/>
      <c r="B5" s="535"/>
      <c r="C5" s="535"/>
      <c r="D5" s="535"/>
      <c r="E5" s="535"/>
      <c r="F5" s="535"/>
      <c r="G5" s="535"/>
      <c r="H5" s="535"/>
      <c r="I5" s="535"/>
    </row>
    <row r="6" spans="1:9" ht="18.75" customHeight="1" x14ac:dyDescent="0.25">
      <c r="A6" s="535"/>
      <c r="B6" s="535"/>
      <c r="C6" s="535"/>
      <c r="D6" s="535"/>
      <c r="E6" s="535"/>
      <c r="F6" s="535"/>
      <c r="G6" s="535"/>
      <c r="H6" s="535"/>
      <c r="I6" s="535"/>
    </row>
    <row r="7" spans="1:9" ht="18.75" customHeight="1" x14ac:dyDescent="0.25">
      <c r="A7" s="535"/>
      <c r="B7" s="535"/>
      <c r="C7" s="535"/>
      <c r="D7" s="535"/>
      <c r="E7" s="535"/>
      <c r="F7" s="535"/>
      <c r="G7" s="535"/>
      <c r="H7" s="535"/>
      <c r="I7" s="535"/>
    </row>
    <row r="8" spans="1:9" x14ac:dyDescent="0.25">
      <c r="A8" s="537" t="s">
        <v>45</v>
      </c>
      <c r="B8" s="537"/>
      <c r="C8" s="537"/>
      <c r="D8" s="537"/>
      <c r="E8" s="537"/>
      <c r="F8" s="537"/>
      <c r="G8" s="537"/>
      <c r="H8" s="537"/>
      <c r="I8" s="537"/>
    </row>
    <row r="9" spans="1:9" x14ac:dyDescent="0.25">
      <c r="A9" s="537"/>
      <c r="B9" s="537"/>
      <c r="C9" s="537"/>
      <c r="D9" s="537"/>
      <c r="E9" s="537"/>
      <c r="F9" s="537"/>
      <c r="G9" s="537"/>
      <c r="H9" s="537"/>
      <c r="I9" s="537"/>
    </row>
    <row r="10" spans="1:9" x14ac:dyDescent="0.25">
      <c r="A10" s="537"/>
      <c r="B10" s="537"/>
      <c r="C10" s="537"/>
      <c r="D10" s="537"/>
      <c r="E10" s="537"/>
      <c r="F10" s="537"/>
      <c r="G10" s="537"/>
      <c r="H10" s="537"/>
      <c r="I10" s="537"/>
    </row>
    <row r="11" spans="1:9" x14ac:dyDescent="0.25">
      <c r="A11" s="537"/>
      <c r="B11" s="537"/>
      <c r="C11" s="537"/>
      <c r="D11" s="537"/>
      <c r="E11" s="537"/>
      <c r="F11" s="537"/>
      <c r="G11" s="537"/>
      <c r="H11" s="537"/>
      <c r="I11" s="537"/>
    </row>
    <row r="12" spans="1:9" x14ac:dyDescent="0.25">
      <c r="A12" s="537"/>
      <c r="B12" s="537"/>
      <c r="C12" s="537"/>
      <c r="D12" s="537"/>
      <c r="E12" s="537"/>
      <c r="F12" s="537"/>
      <c r="G12" s="537"/>
      <c r="H12" s="537"/>
      <c r="I12" s="537"/>
    </row>
    <row r="13" spans="1:9" x14ac:dyDescent="0.25">
      <c r="A13" s="537"/>
      <c r="B13" s="537"/>
      <c r="C13" s="537"/>
      <c r="D13" s="537"/>
      <c r="E13" s="537"/>
      <c r="F13" s="537"/>
      <c r="G13" s="537"/>
      <c r="H13" s="537"/>
      <c r="I13" s="537"/>
    </row>
    <row r="14" spans="1:9" x14ac:dyDescent="0.25">
      <c r="A14" s="537"/>
      <c r="B14" s="537"/>
      <c r="C14" s="537"/>
      <c r="D14" s="537"/>
      <c r="E14" s="537"/>
      <c r="F14" s="537"/>
      <c r="G14" s="537"/>
      <c r="H14" s="537"/>
      <c r="I14" s="537"/>
    </row>
    <row r="15" spans="1:9" ht="19.5" customHeight="1" thickBot="1" x14ac:dyDescent="0.35">
      <c r="A15" s="538"/>
    </row>
    <row r="16" spans="1:9" ht="19.5" customHeight="1" thickBot="1" x14ac:dyDescent="0.35">
      <c r="A16" s="539" t="s">
        <v>30</v>
      </c>
      <c r="B16" s="540"/>
      <c r="C16" s="540"/>
      <c r="D16" s="540"/>
      <c r="E16" s="540"/>
      <c r="F16" s="540"/>
      <c r="G16" s="540"/>
      <c r="H16" s="541"/>
    </row>
    <row r="17" spans="1:14" ht="20.25" customHeight="1" x14ac:dyDescent="0.25">
      <c r="A17" s="542" t="s">
        <v>46</v>
      </c>
      <c r="B17" s="542"/>
      <c r="C17" s="542"/>
      <c r="D17" s="542"/>
      <c r="E17" s="542"/>
      <c r="F17" s="542"/>
      <c r="G17" s="542"/>
      <c r="H17" s="542"/>
    </row>
    <row r="18" spans="1:14" ht="26.25" customHeight="1" x14ac:dyDescent="0.4">
      <c r="A18" s="544" t="s">
        <v>32</v>
      </c>
      <c r="B18" s="545" t="s">
        <v>4</v>
      </c>
      <c r="C18" s="545"/>
      <c r="D18" s="546"/>
      <c r="E18" s="547"/>
      <c r="F18" s="548"/>
      <c r="G18" s="548"/>
      <c r="H18" s="548"/>
    </row>
    <row r="19" spans="1:14" ht="26.25" customHeight="1" x14ac:dyDescent="0.4">
      <c r="A19" s="544" t="s">
        <v>33</v>
      </c>
      <c r="B19" s="549" t="s">
        <v>6</v>
      </c>
      <c r="C19" s="548">
        <v>29</v>
      </c>
      <c r="D19" s="548"/>
      <c r="E19" s="548"/>
      <c r="F19" s="548"/>
      <c r="G19" s="548"/>
      <c r="H19" s="548"/>
    </row>
    <row r="20" spans="1:14" ht="26.25" customHeight="1" x14ac:dyDescent="0.4">
      <c r="A20" s="544" t="s">
        <v>34</v>
      </c>
      <c r="B20" s="550" t="s">
        <v>8</v>
      </c>
      <c r="C20" s="550"/>
      <c r="D20" s="548"/>
      <c r="E20" s="548"/>
      <c r="F20" s="548"/>
      <c r="G20" s="548"/>
      <c r="H20" s="548"/>
    </row>
    <row r="21" spans="1:14" ht="26.25" customHeight="1" x14ac:dyDescent="0.4">
      <c r="A21" s="544" t="s">
        <v>35</v>
      </c>
      <c r="B21" s="550" t="s">
        <v>10</v>
      </c>
      <c r="C21" s="550"/>
      <c r="D21" s="550"/>
      <c r="E21" s="550"/>
      <c r="F21" s="550"/>
      <c r="G21" s="550"/>
      <c r="H21" s="550"/>
      <c r="I21" s="551"/>
    </row>
    <row r="22" spans="1:14" ht="26.25" customHeight="1" x14ac:dyDescent="0.4">
      <c r="A22" s="544" t="s">
        <v>36</v>
      </c>
      <c r="B22" s="552" t="s">
        <v>11</v>
      </c>
      <c r="C22" s="548"/>
      <c r="D22" s="548"/>
      <c r="E22" s="548"/>
      <c r="F22" s="548"/>
      <c r="G22" s="548"/>
      <c r="H22" s="548"/>
    </row>
    <row r="23" spans="1:14" ht="26.25" customHeight="1" x14ac:dyDescent="0.4">
      <c r="A23" s="544" t="s">
        <v>37</v>
      </c>
      <c r="B23" s="552"/>
      <c r="C23" s="548"/>
      <c r="D23" s="548"/>
      <c r="E23" s="548"/>
      <c r="F23" s="548"/>
      <c r="G23" s="548"/>
      <c r="H23" s="548"/>
    </row>
    <row r="24" spans="1:14" ht="18.75" x14ac:dyDescent="0.3">
      <c r="A24" s="544"/>
      <c r="B24" s="553"/>
    </row>
    <row r="25" spans="1:14" ht="18.75" x14ac:dyDescent="0.3">
      <c r="A25" s="554" t="s">
        <v>1</v>
      </c>
      <c r="B25" s="553"/>
    </row>
    <row r="26" spans="1:14" ht="26.25" customHeight="1" x14ac:dyDescent="0.4">
      <c r="A26" s="555" t="s">
        <v>3</v>
      </c>
      <c r="B26" s="545" t="s">
        <v>124</v>
      </c>
      <c r="C26" s="545"/>
    </row>
    <row r="27" spans="1:14" ht="26.25" customHeight="1" x14ac:dyDescent="0.4">
      <c r="A27" s="556" t="s">
        <v>47</v>
      </c>
      <c r="B27" s="557"/>
      <c r="C27" s="557"/>
    </row>
    <row r="28" spans="1:14" ht="27" customHeight="1" thickBot="1" x14ac:dyDescent="0.45">
      <c r="A28" s="556" t="s">
        <v>5</v>
      </c>
      <c r="B28" s="558">
        <v>86.6</v>
      </c>
    </row>
    <row r="29" spans="1:14" s="563" customFormat="1" ht="27" customHeight="1" thickBot="1" x14ac:dyDescent="0.45">
      <c r="A29" s="556" t="s">
        <v>48</v>
      </c>
      <c r="B29" s="559"/>
      <c r="C29" s="560" t="s">
        <v>49</v>
      </c>
      <c r="D29" s="561"/>
      <c r="E29" s="561"/>
      <c r="F29" s="561"/>
      <c r="G29" s="562"/>
      <c r="I29" s="564"/>
      <c r="J29" s="564"/>
      <c r="K29" s="564"/>
      <c r="L29" s="564"/>
    </row>
    <row r="30" spans="1:14" s="563" customFormat="1" ht="19.5" customHeight="1" thickBot="1" x14ac:dyDescent="0.35">
      <c r="A30" s="556" t="s">
        <v>50</v>
      </c>
      <c r="B30" s="565">
        <f>B28-B29</f>
        <v>86.6</v>
      </c>
      <c r="C30" s="566"/>
      <c r="D30" s="566"/>
      <c r="E30" s="566"/>
      <c r="F30" s="566"/>
      <c r="G30" s="567"/>
      <c r="I30" s="564"/>
      <c r="J30" s="564"/>
      <c r="K30" s="564"/>
      <c r="L30" s="564"/>
    </row>
    <row r="31" spans="1:14" s="563" customFormat="1" ht="27" customHeight="1" thickBot="1" x14ac:dyDescent="0.45">
      <c r="A31" s="556" t="s">
        <v>51</v>
      </c>
      <c r="B31" s="568">
        <v>1</v>
      </c>
      <c r="C31" s="569" t="s">
        <v>52</v>
      </c>
      <c r="D31" s="570"/>
      <c r="E31" s="570"/>
      <c r="F31" s="570"/>
      <c r="G31" s="570"/>
      <c r="H31" s="571"/>
      <c r="I31" s="564"/>
      <c r="J31" s="564"/>
      <c r="K31" s="564"/>
      <c r="L31" s="564"/>
    </row>
    <row r="32" spans="1:14" s="563" customFormat="1" ht="27" customHeight="1" thickBot="1" x14ac:dyDescent="0.45">
      <c r="A32" s="556" t="s">
        <v>53</v>
      </c>
      <c r="B32" s="568">
        <v>1</v>
      </c>
      <c r="C32" s="569" t="s">
        <v>54</v>
      </c>
      <c r="D32" s="570"/>
      <c r="E32" s="570"/>
      <c r="F32" s="570"/>
      <c r="G32" s="570"/>
      <c r="H32" s="571"/>
      <c r="I32" s="564"/>
      <c r="J32" s="564"/>
      <c r="K32" s="564"/>
      <c r="L32" s="572"/>
      <c r="M32" s="572"/>
      <c r="N32" s="573"/>
    </row>
    <row r="33" spans="1:14" s="563" customFormat="1" ht="17.25" customHeight="1" x14ac:dyDescent="0.3">
      <c r="A33" s="556"/>
      <c r="B33" s="574"/>
      <c r="C33" s="575"/>
      <c r="D33" s="575"/>
      <c r="E33" s="575"/>
      <c r="F33" s="575"/>
      <c r="G33" s="575"/>
      <c r="H33" s="575"/>
      <c r="I33" s="564"/>
      <c r="J33" s="564"/>
      <c r="K33" s="564"/>
      <c r="L33" s="572"/>
      <c r="M33" s="572"/>
      <c r="N33" s="573"/>
    </row>
    <row r="34" spans="1:14" s="563" customFormat="1" ht="18.75" x14ac:dyDescent="0.3">
      <c r="A34" s="556" t="s">
        <v>55</v>
      </c>
      <c r="B34" s="576">
        <f>B31/B32</f>
        <v>1</v>
      </c>
      <c r="C34" s="538" t="s">
        <v>56</v>
      </c>
      <c r="D34" s="538"/>
      <c r="E34" s="538"/>
      <c r="F34" s="538"/>
      <c r="G34" s="538"/>
      <c r="I34" s="564"/>
      <c r="J34" s="564"/>
      <c r="K34" s="564"/>
      <c r="L34" s="572"/>
      <c r="M34" s="572"/>
      <c r="N34" s="573"/>
    </row>
    <row r="35" spans="1:14" s="563" customFormat="1" ht="19.5" customHeight="1" thickBot="1" x14ac:dyDescent="0.35">
      <c r="A35" s="556"/>
      <c r="B35" s="565"/>
      <c r="G35" s="538"/>
      <c r="I35" s="564"/>
      <c r="J35" s="564"/>
      <c r="K35" s="564"/>
      <c r="L35" s="572"/>
      <c r="M35" s="572"/>
      <c r="N35" s="573"/>
    </row>
    <row r="36" spans="1:14" s="563" customFormat="1" ht="27" customHeight="1" thickBot="1" x14ac:dyDescent="0.45">
      <c r="A36" s="577" t="s">
        <v>57</v>
      </c>
      <c r="B36" s="578">
        <v>20</v>
      </c>
      <c r="C36" s="538"/>
      <c r="D36" s="579" t="s">
        <v>58</v>
      </c>
      <c r="E36" s="580"/>
      <c r="F36" s="579" t="s">
        <v>59</v>
      </c>
      <c r="G36" s="581"/>
      <c r="J36" s="564"/>
      <c r="K36" s="564"/>
      <c r="L36" s="572"/>
      <c r="M36" s="572"/>
      <c r="N36" s="573"/>
    </row>
    <row r="37" spans="1:14" s="563" customFormat="1" ht="27" customHeight="1" thickBot="1" x14ac:dyDescent="0.45">
      <c r="A37" s="582" t="s">
        <v>60</v>
      </c>
      <c r="B37" s="583">
        <v>10</v>
      </c>
      <c r="C37" s="584" t="s">
        <v>61</v>
      </c>
      <c r="D37" s="585" t="s">
        <v>62</v>
      </c>
      <c r="E37" s="586" t="s">
        <v>63</v>
      </c>
      <c r="F37" s="585" t="s">
        <v>62</v>
      </c>
      <c r="G37" s="587" t="s">
        <v>63</v>
      </c>
      <c r="I37" s="588" t="s">
        <v>64</v>
      </c>
      <c r="J37" s="564"/>
      <c r="K37" s="564"/>
      <c r="L37" s="572"/>
      <c r="M37" s="572"/>
      <c r="N37" s="573"/>
    </row>
    <row r="38" spans="1:14" s="563" customFormat="1" ht="26.25" customHeight="1" x14ac:dyDescent="0.4">
      <c r="A38" s="582" t="s">
        <v>65</v>
      </c>
      <c r="B38" s="583">
        <v>25</v>
      </c>
      <c r="C38" s="589">
        <v>1</v>
      </c>
      <c r="D38" s="590">
        <v>54164074</v>
      </c>
      <c r="E38" s="591">
        <f>IF(ISBLANK(D38),"-",$D$48/$D$45*D38)</f>
        <v>59748872.843311757</v>
      </c>
      <c r="F38" s="590">
        <v>54754413</v>
      </c>
      <c r="G38" s="592">
        <f>IF(ISBLANK(F38),"-",$D$48/$F$45*F38)</f>
        <v>61456847.637912653</v>
      </c>
      <c r="I38" s="593"/>
      <c r="J38" s="564"/>
      <c r="K38" s="564"/>
      <c r="L38" s="572"/>
      <c r="M38" s="572"/>
      <c r="N38" s="573"/>
    </row>
    <row r="39" spans="1:14" s="563" customFormat="1" ht="26.25" customHeight="1" x14ac:dyDescent="0.4">
      <c r="A39" s="582" t="s">
        <v>66</v>
      </c>
      <c r="B39" s="583">
        <v>1</v>
      </c>
      <c r="C39" s="594">
        <v>2</v>
      </c>
      <c r="D39" s="595">
        <v>54162399</v>
      </c>
      <c r="E39" s="596">
        <f>IF(ISBLANK(D39),"-",$D$48/$D$45*D39)</f>
        <v>59747025.135880947</v>
      </c>
      <c r="F39" s="595">
        <v>54452523</v>
      </c>
      <c r="G39" s="597">
        <f>IF(ISBLANK(F39),"-",$D$48/$F$45*F39)</f>
        <v>61118003.57554622</v>
      </c>
      <c r="I39" s="598">
        <f>ABS((F43/D43*D42)-F42)/D42</f>
        <v>1.8444279496819888E-2</v>
      </c>
      <c r="J39" s="564"/>
      <c r="K39" s="564"/>
      <c r="L39" s="572"/>
      <c r="M39" s="572"/>
      <c r="N39" s="573"/>
    </row>
    <row r="40" spans="1:14" ht="26.25" customHeight="1" x14ac:dyDescent="0.4">
      <c r="A40" s="582" t="s">
        <v>67</v>
      </c>
      <c r="B40" s="583">
        <v>1</v>
      </c>
      <c r="C40" s="594">
        <v>3</v>
      </c>
      <c r="D40" s="595">
        <v>54863362</v>
      </c>
      <c r="E40" s="596">
        <f>IF(ISBLANK(D40),"-",$D$48/$D$45*D40)</f>
        <v>60520263.66950503</v>
      </c>
      <c r="F40" s="595">
        <v>54186726</v>
      </c>
      <c r="G40" s="597">
        <f>IF(ISBLANK(F40),"-",$D$48/$F$45*F40)</f>
        <v>60819670.622335412</v>
      </c>
      <c r="I40" s="598"/>
      <c r="L40" s="572"/>
      <c r="M40" s="572"/>
      <c r="N40" s="538"/>
    </row>
    <row r="41" spans="1:14" ht="27" customHeight="1" thickBot="1" x14ac:dyDescent="0.45">
      <c r="A41" s="582" t="s">
        <v>68</v>
      </c>
      <c r="B41" s="583">
        <v>1</v>
      </c>
      <c r="C41" s="599">
        <v>4</v>
      </c>
      <c r="D41" s="600"/>
      <c r="E41" s="601" t="str">
        <f>IF(ISBLANK(D41),"-",$D$48/$D$45*D41)</f>
        <v>-</v>
      </c>
      <c r="F41" s="600"/>
      <c r="G41" s="602" t="str">
        <f>IF(ISBLANK(F41),"-",$D$48/$F$45*F41)</f>
        <v>-</v>
      </c>
      <c r="I41" s="603"/>
      <c r="L41" s="572"/>
      <c r="M41" s="572"/>
      <c r="N41" s="538"/>
    </row>
    <row r="42" spans="1:14" ht="27" customHeight="1" thickBot="1" x14ac:dyDescent="0.45">
      <c r="A42" s="582" t="s">
        <v>69</v>
      </c>
      <c r="B42" s="583">
        <v>1</v>
      </c>
      <c r="C42" s="604" t="s">
        <v>70</v>
      </c>
      <c r="D42" s="605">
        <f>AVERAGE(D38:D41)</f>
        <v>54396611.666666664</v>
      </c>
      <c r="E42" s="606">
        <f>AVERAGE(E38:E41)</f>
        <v>60005387.216232575</v>
      </c>
      <c r="F42" s="605">
        <f>AVERAGE(F38:F41)</f>
        <v>54464554</v>
      </c>
      <c r="G42" s="607">
        <f>AVERAGE(G38:G41)</f>
        <v>61131507.278598092</v>
      </c>
      <c r="H42" s="608"/>
    </row>
    <row r="43" spans="1:14" ht="26.25" customHeight="1" x14ac:dyDescent="0.4">
      <c r="A43" s="582" t="s">
        <v>71</v>
      </c>
      <c r="B43" s="583">
        <v>1</v>
      </c>
      <c r="C43" s="609" t="s">
        <v>72</v>
      </c>
      <c r="D43" s="610">
        <v>26.17</v>
      </c>
      <c r="E43" s="538"/>
      <c r="F43" s="610">
        <v>25.72</v>
      </c>
      <c r="H43" s="608"/>
    </row>
    <row r="44" spans="1:14" ht="26.25" customHeight="1" x14ac:dyDescent="0.4">
      <c r="A44" s="582" t="s">
        <v>73</v>
      </c>
      <c r="B44" s="583">
        <v>1</v>
      </c>
      <c r="C44" s="611" t="s">
        <v>74</v>
      </c>
      <c r="D44" s="612">
        <f>D43*$B$34</f>
        <v>26.17</v>
      </c>
      <c r="E44" s="613"/>
      <c r="F44" s="612">
        <f>F43*$B$34</f>
        <v>25.72</v>
      </c>
      <c r="H44" s="608"/>
    </row>
    <row r="45" spans="1:14" ht="19.5" customHeight="1" thickBot="1" x14ac:dyDescent="0.35">
      <c r="A45" s="582" t="s">
        <v>75</v>
      </c>
      <c r="B45" s="594">
        <f>(B44/B43)*(B42/B41)*(B40/B39)*(B38/B37)*B36</f>
        <v>50</v>
      </c>
      <c r="C45" s="611" t="s">
        <v>76</v>
      </c>
      <c r="D45" s="614">
        <f>D44*$B$30/100</f>
        <v>22.663220000000003</v>
      </c>
      <c r="E45" s="615"/>
      <c r="F45" s="614">
        <f>F44*$B$30/100</f>
        <v>22.273519999999998</v>
      </c>
      <c r="H45" s="608"/>
    </row>
    <row r="46" spans="1:14" ht="19.5" customHeight="1" thickBot="1" x14ac:dyDescent="0.35">
      <c r="A46" s="616" t="s">
        <v>77</v>
      </c>
      <c r="B46" s="617"/>
      <c r="C46" s="611" t="s">
        <v>78</v>
      </c>
      <c r="D46" s="618">
        <f>D45/$B$45</f>
        <v>0.45326440000000007</v>
      </c>
      <c r="E46" s="619"/>
      <c r="F46" s="620">
        <f>F45/$B$45</f>
        <v>0.44547039999999993</v>
      </c>
      <c r="H46" s="608"/>
    </row>
    <row r="47" spans="1:14" ht="27" customHeight="1" thickBot="1" x14ac:dyDescent="0.45">
      <c r="A47" s="621"/>
      <c r="B47" s="622"/>
      <c r="C47" s="623" t="s">
        <v>79</v>
      </c>
      <c r="D47" s="624">
        <v>0.5</v>
      </c>
      <c r="E47" s="625"/>
      <c r="F47" s="619"/>
      <c r="H47" s="608"/>
    </row>
    <row r="48" spans="1:14" ht="18.75" x14ac:dyDescent="0.3">
      <c r="C48" s="626" t="s">
        <v>80</v>
      </c>
      <c r="D48" s="614">
        <f>D47*$B$45</f>
        <v>25</v>
      </c>
      <c r="F48" s="627"/>
      <c r="H48" s="608"/>
    </row>
    <row r="49" spans="1:12" ht="19.5" customHeight="1" thickBot="1" x14ac:dyDescent="0.35">
      <c r="C49" s="628" t="s">
        <v>81</v>
      </c>
      <c r="D49" s="629">
        <f>D48/B34</f>
        <v>25</v>
      </c>
      <c r="F49" s="627"/>
      <c r="H49" s="608"/>
    </row>
    <row r="50" spans="1:12" ht="18.75" x14ac:dyDescent="0.3">
      <c r="C50" s="577" t="s">
        <v>82</v>
      </c>
      <c r="D50" s="630">
        <f>AVERAGE(E38:E41,G38:G41)</f>
        <v>60568447.247415341</v>
      </c>
      <c r="F50" s="631"/>
      <c r="H50" s="608"/>
    </row>
    <row r="51" spans="1:12" ht="18.75" x14ac:dyDescent="0.3">
      <c r="C51" s="582" t="s">
        <v>83</v>
      </c>
      <c r="D51" s="632">
        <f>STDEV(E38:E41,G38:G41)/D50</f>
        <v>1.1681833681865088E-2</v>
      </c>
      <c r="F51" s="631"/>
      <c r="H51" s="608"/>
    </row>
    <row r="52" spans="1:12" ht="19.5" customHeight="1" thickBot="1" x14ac:dyDescent="0.35">
      <c r="C52" s="633" t="s">
        <v>19</v>
      </c>
      <c r="D52" s="634">
        <f>COUNT(E38:E41,G38:G41)</f>
        <v>6</v>
      </c>
      <c r="F52" s="631"/>
    </row>
    <row r="54" spans="1:12" ht="18.75" x14ac:dyDescent="0.3">
      <c r="A54" s="635" t="s">
        <v>1</v>
      </c>
      <c r="B54" s="636" t="s">
        <v>84</v>
      </c>
    </row>
    <row r="55" spans="1:12" ht="18.75" x14ac:dyDescent="0.3">
      <c r="A55" s="538" t="s">
        <v>85</v>
      </c>
      <c r="B55" s="637" t="str">
        <f>B21</f>
        <v>Each film coate tablet contains: Amoxicillin Trihydrate BP Eq. to Amoxicillin 250mg (as Potassium Clavulanate Diluted BP) Eq. to Clavulanic acid 125mg</v>
      </c>
    </row>
    <row r="56" spans="1:12" ht="26.25" customHeight="1" x14ac:dyDescent="0.4">
      <c r="A56" s="637" t="s">
        <v>86</v>
      </c>
      <c r="B56" s="638">
        <v>250</v>
      </c>
      <c r="C56" s="538" t="str">
        <f>B20</f>
        <v>Amoxicillin &amp; Clavulanic Acid</v>
      </c>
      <c r="H56" s="613"/>
    </row>
    <row r="57" spans="1:12" ht="18.75" x14ac:dyDescent="0.3">
      <c r="A57" s="637" t="s">
        <v>87</v>
      </c>
      <c r="B57" s="639">
        <f>[1]Uniformity!C46</f>
        <v>705.48599999999988</v>
      </c>
      <c r="H57" s="613"/>
    </row>
    <row r="58" spans="1:12" ht="19.5" customHeight="1" thickBot="1" x14ac:dyDescent="0.35">
      <c r="H58" s="613"/>
    </row>
    <row r="59" spans="1:12" s="563" customFormat="1" ht="27" customHeight="1" thickBot="1" x14ac:dyDescent="0.45">
      <c r="A59" s="577" t="s">
        <v>88</v>
      </c>
      <c r="B59" s="578">
        <v>100</v>
      </c>
      <c r="C59" s="538"/>
      <c r="D59" s="640" t="s">
        <v>89</v>
      </c>
      <c r="E59" s="641" t="s">
        <v>61</v>
      </c>
      <c r="F59" s="641" t="s">
        <v>62</v>
      </c>
      <c r="G59" s="641" t="s">
        <v>90</v>
      </c>
      <c r="H59" s="584" t="s">
        <v>91</v>
      </c>
      <c r="L59" s="564"/>
    </row>
    <row r="60" spans="1:12" s="563" customFormat="1" ht="26.25" customHeight="1" x14ac:dyDescent="0.4">
      <c r="A60" s="582" t="s">
        <v>92</v>
      </c>
      <c r="B60" s="583">
        <v>1</v>
      </c>
      <c r="C60" s="642" t="s">
        <v>93</v>
      </c>
      <c r="D60" s="643">
        <v>129.33000000000001</v>
      </c>
      <c r="E60" s="644">
        <v>1</v>
      </c>
      <c r="F60" s="645">
        <v>54911420</v>
      </c>
      <c r="G60" s="646">
        <f>IF(ISBLANK(F60),"-",(F60/$D$50*$D$47*$B$68)*($B$57/$D$60))</f>
        <v>247.27223890588854</v>
      </c>
      <c r="H60" s="647">
        <f t="shared" ref="H60:H71" si="0">IF(ISBLANK(F60),"-",G60/$B$56)</f>
        <v>0.98908895562355414</v>
      </c>
      <c r="I60" s="648"/>
      <c r="L60" s="564"/>
    </row>
    <row r="61" spans="1:12" s="563" customFormat="1" ht="26.25" customHeight="1" x14ac:dyDescent="0.4">
      <c r="A61" s="582" t="s">
        <v>94</v>
      </c>
      <c r="B61" s="583">
        <v>1</v>
      </c>
      <c r="C61" s="649"/>
      <c r="D61" s="650"/>
      <c r="E61" s="651">
        <v>2</v>
      </c>
      <c r="F61" s="595">
        <v>52108895</v>
      </c>
      <c r="G61" s="652">
        <f>IF(ISBLANK(F61),"-",(F61/$D$50*$D$47*$B$68)*($B$57/$D$60))</f>
        <v>234.65215675649731</v>
      </c>
      <c r="H61" s="653">
        <f t="shared" si="0"/>
        <v>0.93860862702598924</v>
      </c>
      <c r="I61" s="648"/>
      <c r="L61" s="564"/>
    </row>
    <row r="62" spans="1:12" s="563" customFormat="1" ht="26.25" customHeight="1" x14ac:dyDescent="0.4">
      <c r="A62" s="582" t="s">
        <v>95</v>
      </c>
      <c r="B62" s="583">
        <v>1</v>
      </c>
      <c r="C62" s="649"/>
      <c r="D62" s="650"/>
      <c r="E62" s="651">
        <v>3</v>
      </c>
      <c r="F62" s="654">
        <v>54735660</v>
      </c>
      <c r="G62" s="652">
        <f>IF(ISBLANK(F62),"-",(F62/$D$50*$D$47*$B$68)*($B$57/$D$60))</f>
        <v>246.48077205418264</v>
      </c>
      <c r="H62" s="655">
        <f t="shared" si="0"/>
        <v>0.98592308821673058</v>
      </c>
      <c r="I62" s="648"/>
      <c r="L62" s="564"/>
    </row>
    <row r="63" spans="1:12" ht="27" customHeight="1" thickBot="1" x14ac:dyDescent="0.45">
      <c r="A63" s="582" t="s">
        <v>96</v>
      </c>
      <c r="B63" s="583">
        <v>1</v>
      </c>
      <c r="C63" s="656"/>
      <c r="D63" s="657"/>
      <c r="E63" s="658">
        <v>4</v>
      </c>
      <c r="F63" s="659"/>
      <c r="G63" s="652" t="str">
        <f>IF(ISBLANK(F63),"-",(F63/$D$50*$D$47*$B$68)*($B$57/$D$60))</f>
        <v>-</v>
      </c>
      <c r="H63" s="655" t="str">
        <f t="shared" si="0"/>
        <v>-</v>
      </c>
    </row>
    <row r="64" spans="1:12" ht="26.25" customHeight="1" x14ac:dyDescent="0.4">
      <c r="A64" s="582" t="s">
        <v>97</v>
      </c>
      <c r="B64" s="583">
        <v>1</v>
      </c>
      <c r="C64" s="642" t="s">
        <v>98</v>
      </c>
      <c r="D64" s="643">
        <v>140.02000000000001</v>
      </c>
      <c r="E64" s="644">
        <v>1</v>
      </c>
      <c r="F64" s="645">
        <v>58533350</v>
      </c>
      <c r="G64" s="646">
        <f>IF(ISBLANK(F64),"-",(F64/$D$50*$D$47*$B$68)*($B$57/$D$64))</f>
        <v>243.45868463516945</v>
      </c>
      <c r="H64" s="647">
        <f t="shared" si="0"/>
        <v>0.97383473854067781</v>
      </c>
    </row>
    <row r="65" spans="1:8" ht="26.25" customHeight="1" x14ac:dyDescent="0.4">
      <c r="A65" s="582" t="s">
        <v>99</v>
      </c>
      <c r="B65" s="583">
        <v>1</v>
      </c>
      <c r="C65" s="649"/>
      <c r="D65" s="650"/>
      <c r="E65" s="651">
        <v>2</v>
      </c>
      <c r="F65" s="595">
        <v>59105165</v>
      </c>
      <c r="G65" s="652">
        <f>IF(ISBLANK(F65),"-",(F65/$D$50*$D$47*$B$68)*($B$57/$D$64))</f>
        <v>245.83704377153634</v>
      </c>
      <c r="H65" s="655">
        <f t="shared" si="0"/>
        <v>0.98334817508614536</v>
      </c>
    </row>
    <row r="66" spans="1:8" ht="26.25" customHeight="1" x14ac:dyDescent="0.4">
      <c r="A66" s="582" t="s">
        <v>100</v>
      </c>
      <c r="B66" s="583">
        <v>1</v>
      </c>
      <c r="C66" s="649"/>
      <c r="D66" s="650"/>
      <c r="E66" s="651">
        <v>3</v>
      </c>
      <c r="F66" s="595">
        <v>56628170</v>
      </c>
      <c r="G66" s="652">
        <f>IF(ISBLANK(F66),"-",(F66/$D$50*$D$47*$B$68)*($B$57/$D$64))</f>
        <v>235.53443945198362</v>
      </c>
      <c r="H66" s="653">
        <f t="shared" si="0"/>
        <v>0.94213775780793452</v>
      </c>
    </row>
    <row r="67" spans="1:8" ht="27" customHeight="1" thickBot="1" x14ac:dyDescent="0.45">
      <c r="A67" s="582" t="s">
        <v>101</v>
      </c>
      <c r="B67" s="583">
        <v>1</v>
      </c>
      <c r="C67" s="656"/>
      <c r="D67" s="657"/>
      <c r="E67" s="658">
        <v>4</v>
      </c>
      <c r="F67" s="659"/>
      <c r="G67" s="660" t="str">
        <f>IF(ISBLANK(F67),"-",(F67/$D$50*$D$47*$B$68)*($B$57/$D$64))</f>
        <v>-</v>
      </c>
      <c r="H67" s="661" t="str">
        <f t="shared" si="0"/>
        <v>-</v>
      </c>
    </row>
    <row r="68" spans="1:8" ht="26.25" customHeight="1" x14ac:dyDescent="0.4">
      <c r="A68" s="582" t="s">
        <v>102</v>
      </c>
      <c r="B68" s="662">
        <f>(B67/B66)*(B65/B64)*(B63/B62)*(B61/B60)*B59</f>
        <v>100</v>
      </c>
      <c r="C68" s="642" t="s">
        <v>103</v>
      </c>
      <c r="D68" s="643">
        <v>145.59</v>
      </c>
      <c r="E68" s="644">
        <v>1</v>
      </c>
      <c r="F68" s="645">
        <v>56856493</v>
      </c>
      <c r="G68" s="646">
        <f>IF(ISBLANK(F68),"-",(F68/$D$50*$D$47*$B$68)*($B$57/$D$68))</f>
        <v>227.43666906008383</v>
      </c>
      <c r="H68" s="655">
        <f t="shared" si="0"/>
        <v>0.90974667624033534</v>
      </c>
    </row>
    <row r="69" spans="1:8" ht="27" customHeight="1" thickBot="1" x14ac:dyDescent="0.45">
      <c r="A69" s="633" t="s">
        <v>104</v>
      </c>
      <c r="B69" s="663">
        <f>(D47*B68)/B56*B57</f>
        <v>141.09719999999999</v>
      </c>
      <c r="C69" s="649"/>
      <c r="D69" s="650"/>
      <c r="E69" s="651">
        <v>2</v>
      </c>
      <c r="F69" s="595">
        <v>57539636</v>
      </c>
      <c r="G69" s="652">
        <f>IF(ISBLANK(F69),"-",(F69/$D$50*$D$47*$B$68)*($B$57/$D$68))</f>
        <v>230.16936958756293</v>
      </c>
      <c r="H69" s="653">
        <f t="shared" si="0"/>
        <v>0.92067747835025171</v>
      </c>
    </row>
    <row r="70" spans="1:8" ht="26.25" customHeight="1" x14ac:dyDescent="0.4">
      <c r="A70" s="664" t="s">
        <v>77</v>
      </c>
      <c r="B70" s="665"/>
      <c r="C70" s="649"/>
      <c r="D70" s="650"/>
      <c r="E70" s="651">
        <v>3</v>
      </c>
      <c r="F70" s="595">
        <v>58998402</v>
      </c>
      <c r="G70" s="652">
        <f>IF(ISBLANK(F70),"-",(F70/$D$50*$D$47*$B$68)*($B$57/$D$68))</f>
        <v>236.00470804183766</v>
      </c>
      <c r="H70" s="653">
        <f t="shared" si="0"/>
        <v>0.94401883216735061</v>
      </c>
    </row>
    <row r="71" spans="1:8" ht="27" customHeight="1" thickBot="1" x14ac:dyDescent="0.45">
      <c r="A71" s="666"/>
      <c r="B71" s="667"/>
      <c r="C71" s="668"/>
      <c r="D71" s="657"/>
      <c r="E71" s="658">
        <v>4</v>
      </c>
      <c r="F71" s="659"/>
      <c r="G71" s="660" t="str">
        <f>IF(ISBLANK(F71),"-",(F71/$D$50*$D$47*$B$68)*($B$57/$D$68))</f>
        <v>-</v>
      </c>
      <c r="H71" s="661" t="str">
        <f t="shared" si="0"/>
        <v>-</v>
      </c>
    </row>
    <row r="72" spans="1:8" ht="26.25" customHeight="1" x14ac:dyDescent="0.4">
      <c r="A72" s="613"/>
      <c r="B72" s="613"/>
      <c r="C72" s="613"/>
      <c r="D72" s="613"/>
      <c r="E72" s="613"/>
      <c r="F72" s="669" t="s">
        <v>70</v>
      </c>
      <c r="G72" s="670">
        <f>AVERAGE(G60:G71)</f>
        <v>238.53845358497139</v>
      </c>
      <c r="H72" s="671">
        <f>AVERAGE(H60,H62:H65,H70)</f>
        <v>0.97524275792689163</v>
      </c>
    </row>
    <row r="73" spans="1:8" ht="26.25" customHeight="1" x14ac:dyDescent="0.4">
      <c r="C73" s="613"/>
      <c r="D73" s="613"/>
      <c r="E73" s="613"/>
      <c r="F73" s="672" t="s">
        <v>83</v>
      </c>
      <c r="G73" s="673">
        <f>STDEV(G60:G71)/G72</f>
        <v>3.1114032110088962E-2</v>
      </c>
      <c r="H73" s="673">
        <f>STDEV(H60,H62:H65,H70)/H72</f>
        <v>1.8826375709295372E-2</v>
      </c>
    </row>
    <row r="74" spans="1:8" ht="27" customHeight="1" thickBot="1" x14ac:dyDescent="0.45">
      <c r="A74" s="613"/>
      <c r="B74" s="613"/>
      <c r="C74" s="613"/>
      <c r="D74" s="613"/>
      <c r="E74" s="615"/>
      <c r="F74" s="674" t="s">
        <v>19</v>
      </c>
      <c r="G74" s="675">
        <f>COUNT(G60:G71)</f>
        <v>9</v>
      </c>
      <c r="H74" s="675">
        <f>COUNT(H60,H62:H65,H70)</f>
        <v>5</v>
      </c>
    </row>
    <row r="76" spans="1:8" ht="26.25" customHeight="1" x14ac:dyDescent="0.4">
      <c r="A76" s="555" t="s">
        <v>105</v>
      </c>
      <c r="B76" s="556" t="s">
        <v>106</v>
      </c>
      <c r="C76" s="676" t="str">
        <f>B20</f>
        <v>Amoxicillin &amp; Clavulanic Acid</v>
      </c>
      <c r="D76" s="676"/>
      <c r="E76" s="538" t="s">
        <v>107</v>
      </c>
      <c r="F76" s="538"/>
      <c r="G76" s="677">
        <f>H72</f>
        <v>0.97524275792689163</v>
      </c>
      <c r="H76" s="565"/>
    </row>
    <row r="77" spans="1:8" ht="18.75" x14ac:dyDescent="0.3">
      <c r="A77" s="554" t="s">
        <v>108</v>
      </c>
      <c r="B77" s="554" t="s">
        <v>109</v>
      </c>
    </row>
    <row r="78" spans="1:8" ht="18.75" x14ac:dyDescent="0.3">
      <c r="A78" s="554"/>
      <c r="B78" s="554"/>
    </row>
    <row r="79" spans="1:8" ht="26.25" customHeight="1" x14ac:dyDescent="0.4">
      <c r="A79" s="555" t="s">
        <v>3</v>
      </c>
      <c r="B79" s="678" t="str">
        <f>B26</f>
        <v>Amoxicillin</v>
      </c>
      <c r="C79" s="678"/>
    </row>
    <row r="80" spans="1:8" ht="26.25" customHeight="1" x14ac:dyDescent="0.4">
      <c r="A80" s="556" t="s">
        <v>47</v>
      </c>
      <c r="B80" s="678">
        <f>B27</f>
        <v>0</v>
      </c>
      <c r="C80" s="678"/>
    </row>
    <row r="81" spans="1:12" ht="27" customHeight="1" thickBot="1" x14ac:dyDescent="0.45">
      <c r="A81" s="556" t="s">
        <v>5</v>
      </c>
      <c r="B81" s="558">
        <f>B28</f>
        <v>86.6</v>
      </c>
    </row>
    <row r="82" spans="1:12" s="563" customFormat="1" ht="27" customHeight="1" thickBot="1" x14ac:dyDescent="0.45">
      <c r="A82" s="556" t="s">
        <v>48</v>
      </c>
      <c r="B82" s="559">
        <v>0</v>
      </c>
      <c r="C82" s="560" t="s">
        <v>49</v>
      </c>
      <c r="D82" s="561"/>
      <c r="E82" s="561"/>
      <c r="F82" s="561"/>
      <c r="G82" s="562"/>
      <c r="I82" s="564"/>
      <c r="J82" s="564"/>
      <c r="K82" s="564"/>
      <c r="L82" s="564"/>
    </row>
    <row r="83" spans="1:12" s="563" customFormat="1" ht="19.5" customHeight="1" thickBot="1" x14ac:dyDescent="0.35">
      <c r="A83" s="556" t="s">
        <v>50</v>
      </c>
      <c r="B83" s="565">
        <f>B81-B82</f>
        <v>86.6</v>
      </c>
      <c r="C83" s="566"/>
      <c r="D83" s="566"/>
      <c r="E83" s="566"/>
      <c r="F83" s="566"/>
      <c r="G83" s="567"/>
      <c r="I83" s="564"/>
      <c r="J83" s="564"/>
      <c r="K83" s="564"/>
      <c r="L83" s="564"/>
    </row>
    <row r="84" spans="1:12" s="563" customFormat="1" ht="27" customHeight="1" thickBot="1" x14ac:dyDescent="0.45">
      <c r="A84" s="556" t="s">
        <v>51</v>
      </c>
      <c r="B84" s="568">
        <v>1</v>
      </c>
      <c r="C84" s="569" t="s">
        <v>110</v>
      </c>
      <c r="D84" s="570"/>
      <c r="E84" s="570"/>
      <c r="F84" s="570"/>
      <c r="G84" s="570"/>
      <c r="H84" s="571"/>
      <c r="I84" s="564"/>
      <c r="J84" s="564"/>
      <c r="K84" s="564"/>
      <c r="L84" s="564"/>
    </row>
    <row r="85" spans="1:12" s="563" customFormat="1" ht="27" customHeight="1" thickBot="1" x14ac:dyDescent="0.45">
      <c r="A85" s="556" t="s">
        <v>53</v>
      </c>
      <c r="B85" s="568">
        <v>1</v>
      </c>
      <c r="C85" s="569" t="s">
        <v>111</v>
      </c>
      <c r="D85" s="570"/>
      <c r="E85" s="570"/>
      <c r="F85" s="570"/>
      <c r="G85" s="570"/>
      <c r="H85" s="571"/>
      <c r="I85" s="564"/>
      <c r="J85" s="564"/>
      <c r="K85" s="564"/>
      <c r="L85" s="564"/>
    </row>
    <row r="86" spans="1:12" s="563" customFormat="1" ht="18.75" x14ac:dyDescent="0.3">
      <c r="A86" s="556"/>
      <c r="B86" s="574"/>
      <c r="C86" s="575"/>
      <c r="D86" s="575"/>
      <c r="E86" s="575"/>
      <c r="F86" s="575"/>
      <c r="G86" s="575"/>
      <c r="H86" s="575"/>
      <c r="I86" s="564"/>
      <c r="J86" s="564"/>
      <c r="K86" s="564"/>
      <c r="L86" s="564"/>
    </row>
    <row r="87" spans="1:12" s="563" customFormat="1" ht="18.75" x14ac:dyDescent="0.3">
      <c r="A87" s="556" t="s">
        <v>55</v>
      </c>
      <c r="B87" s="576">
        <f>B84/B85</f>
        <v>1</v>
      </c>
      <c r="C87" s="538" t="s">
        <v>56</v>
      </c>
      <c r="D87" s="538"/>
      <c r="E87" s="538"/>
      <c r="F87" s="538"/>
      <c r="G87" s="538"/>
      <c r="I87" s="564"/>
      <c r="J87" s="564"/>
      <c r="K87" s="564"/>
      <c r="L87" s="564"/>
    </row>
    <row r="88" spans="1:12" ht="19.5" customHeight="1" thickBot="1" x14ac:dyDescent="0.35">
      <c r="A88" s="554"/>
      <c r="B88" s="554"/>
    </row>
    <row r="89" spans="1:12" ht="27" customHeight="1" thickBot="1" x14ac:dyDescent="0.45">
      <c r="A89" s="577" t="s">
        <v>57</v>
      </c>
      <c r="B89" s="578">
        <v>20</v>
      </c>
      <c r="D89" s="679" t="s">
        <v>58</v>
      </c>
      <c r="E89" s="680"/>
      <c r="F89" s="579" t="s">
        <v>59</v>
      </c>
      <c r="G89" s="581"/>
    </row>
    <row r="90" spans="1:12" ht="27" customHeight="1" thickBot="1" x14ac:dyDescent="0.45">
      <c r="A90" s="582" t="s">
        <v>60</v>
      </c>
      <c r="B90" s="583">
        <v>10</v>
      </c>
      <c r="C90" s="681" t="s">
        <v>61</v>
      </c>
      <c r="D90" s="585" t="s">
        <v>62</v>
      </c>
      <c r="E90" s="586" t="s">
        <v>63</v>
      </c>
      <c r="F90" s="585" t="s">
        <v>62</v>
      </c>
      <c r="G90" s="682" t="s">
        <v>63</v>
      </c>
      <c r="I90" s="588" t="s">
        <v>64</v>
      </c>
    </row>
    <row r="91" spans="1:12" ht="26.25" customHeight="1" x14ac:dyDescent="0.4">
      <c r="A91" s="582" t="s">
        <v>65</v>
      </c>
      <c r="B91" s="583">
        <v>25</v>
      </c>
      <c r="C91" s="683">
        <v>1</v>
      </c>
      <c r="D91" s="590">
        <v>109871362</v>
      </c>
      <c r="E91" s="591">
        <f>IF(ISBLANK(D91),"-",$D$101/$D$98*D91)</f>
        <v>73544009.978567466</v>
      </c>
      <c r="F91" s="590">
        <v>123993104</v>
      </c>
      <c r="G91" s="592">
        <f>IF(ISBLANK(F91),"-",$D$101/$F$98*F91)</f>
        <v>73733728.796449244</v>
      </c>
      <c r="I91" s="593"/>
    </row>
    <row r="92" spans="1:12" ht="26.25" customHeight="1" x14ac:dyDescent="0.4">
      <c r="A92" s="582" t="s">
        <v>66</v>
      </c>
      <c r="B92" s="583">
        <v>1</v>
      </c>
      <c r="C92" s="613">
        <v>2</v>
      </c>
      <c r="D92" s="595">
        <v>107866182</v>
      </c>
      <c r="E92" s="596">
        <f>IF(ISBLANK(D92),"-",$D$101/$D$98*D92)</f>
        <v>72201813.292875856</v>
      </c>
      <c r="F92" s="595">
        <v>121196562</v>
      </c>
      <c r="G92" s="597">
        <f>IF(ISBLANK(F92),"-",$D$101/$F$98*F92)</f>
        <v>72070737.365926787</v>
      </c>
      <c r="I92" s="598">
        <f>ABS((F96/D96*D95)-F95)/D95</f>
        <v>1.645336331219366E-3</v>
      </c>
    </row>
    <row r="93" spans="1:12" ht="26.25" customHeight="1" x14ac:dyDescent="0.4">
      <c r="A93" s="582" t="s">
        <v>67</v>
      </c>
      <c r="B93" s="583">
        <v>1</v>
      </c>
      <c r="C93" s="613">
        <v>3</v>
      </c>
      <c r="D93" s="595">
        <v>106588385</v>
      </c>
      <c r="E93" s="596">
        <f>IF(ISBLANK(D93),"-",$D$101/$D$98*D93)</f>
        <v>71346501.102256209</v>
      </c>
      <c r="F93" s="595">
        <v>119346421</v>
      </c>
      <c r="G93" s="597">
        <f>IF(ISBLANK(F93),"-",$D$101/$F$98*F93)</f>
        <v>70970532.674469188</v>
      </c>
      <c r="I93" s="598"/>
    </row>
    <row r="94" spans="1:12" ht="27" customHeight="1" thickBot="1" x14ac:dyDescent="0.45">
      <c r="A94" s="582" t="s">
        <v>68</v>
      </c>
      <c r="B94" s="583">
        <v>1</v>
      </c>
      <c r="C94" s="684">
        <v>4</v>
      </c>
      <c r="D94" s="600"/>
      <c r="E94" s="601" t="str">
        <f>IF(ISBLANK(D94),"-",$D$101/$D$98*D94)</f>
        <v>-</v>
      </c>
      <c r="F94" s="685"/>
      <c r="G94" s="602" t="str">
        <f>IF(ISBLANK(F94),"-",$D$101/$F$98*F94)</f>
        <v>-</v>
      </c>
      <c r="I94" s="603"/>
    </row>
    <row r="95" spans="1:12" ht="27" customHeight="1" thickBot="1" x14ac:dyDescent="0.45">
      <c r="A95" s="582" t="s">
        <v>69</v>
      </c>
      <c r="B95" s="583">
        <v>1</v>
      </c>
      <c r="C95" s="556" t="s">
        <v>70</v>
      </c>
      <c r="D95" s="686">
        <f>AVERAGE(D91:D94)</f>
        <v>108108643</v>
      </c>
      <c r="E95" s="606">
        <f>AVERAGE(E91:E94)</f>
        <v>72364108.12456651</v>
      </c>
      <c r="F95" s="687">
        <f>AVERAGE(F91:F94)</f>
        <v>121512029</v>
      </c>
      <c r="G95" s="688">
        <f>AVERAGE(G91:G94)</f>
        <v>72258332.945615068</v>
      </c>
    </row>
    <row r="96" spans="1:12" ht="26.25" customHeight="1" x14ac:dyDescent="0.4">
      <c r="A96" s="582" t="s">
        <v>71</v>
      </c>
      <c r="B96" s="558">
        <v>1</v>
      </c>
      <c r="C96" s="689" t="s">
        <v>112</v>
      </c>
      <c r="D96" s="690">
        <v>23.96</v>
      </c>
      <c r="E96" s="538"/>
      <c r="F96" s="610">
        <v>26.97</v>
      </c>
    </row>
    <row r="97" spans="1:10" ht="26.25" customHeight="1" x14ac:dyDescent="0.4">
      <c r="A97" s="582" t="s">
        <v>73</v>
      </c>
      <c r="B97" s="558">
        <v>1</v>
      </c>
      <c r="C97" s="691" t="s">
        <v>113</v>
      </c>
      <c r="D97" s="692">
        <f>D96*$B$87</f>
        <v>23.96</v>
      </c>
      <c r="E97" s="613"/>
      <c r="F97" s="612">
        <f>F96*$B$87</f>
        <v>26.97</v>
      </c>
    </row>
    <row r="98" spans="1:10" ht="19.5" customHeight="1" thickBot="1" x14ac:dyDescent="0.35">
      <c r="A98" s="582" t="s">
        <v>75</v>
      </c>
      <c r="B98" s="613">
        <f>(B97/B96)*(B95/B94)*(B93/B92)*(B91/B90)*B89</f>
        <v>50</v>
      </c>
      <c r="C98" s="691" t="s">
        <v>114</v>
      </c>
      <c r="D98" s="693">
        <f>D97*$B$83/100</f>
        <v>20.749360000000003</v>
      </c>
      <c r="E98" s="615"/>
      <c r="F98" s="614">
        <f>F97*$B$83/100</f>
        <v>23.356019999999997</v>
      </c>
    </row>
    <row r="99" spans="1:10" ht="19.5" customHeight="1" thickBot="1" x14ac:dyDescent="0.35">
      <c r="A99" s="616" t="s">
        <v>77</v>
      </c>
      <c r="B99" s="694"/>
      <c r="C99" s="691" t="s">
        <v>115</v>
      </c>
      <c r="D99" s="695">
        <f>D98/$B$98</f>
        <v>0.41498720000000006</v>
      </c>
      <c r="E99" s="615"/>
      <c r="F99" s="620">
        <f>F98/$B$98</f>
        <v>0.46712039999999994</v>
      </c>
      <c r="H99" s="608"/>
    </row>
    <row r="100" spans="1:10" ht="19.5" customHeight="1" thickBot="1" x14ac:dyDescent="0.35">
      <c r="A100" s="621"/>
      <c r="B100" s="696"/>
      <c r="C100" s="691" t="s">
        <v>79</v>
      </c>
      <c r="D100" s="697">
        <f>$B$56/$B$116</f>
        <v>0.27777777777777779</v>
      </c>
      <c r="F100" s="627"/>
      <c r="G100" s="698"/>
      <c r="H100" s="608"/>
    </row>
    <row r="101" spans="1:10" ht="18.75" x14ac:dyDescent="0.3">
      <c r="C101" s="691" t="s">
        <v>80</v>
      </c>
      <c r="D101" s="692">
        <f>D100*$B$98</f>
        <v>13.888888888888889</v>
      </c>
      <c r="F101" s="627"/>
      <c r="H101" s="608"/>
    </row>
    <row r="102" spans="1:10" ht="19.5" customHeight="1" thickBot="1" x14ac:dyDescent="0.35">
      <c r="C102" s="699" t="s">
        <v>81</v>
      </c>
      <c r="D102" s="700">
        <f>D101/B34</f>
        <v>13.888888888888889</v>
      </c>
      <c r="F102" s="631"/>
      <c r="H102" s="608"/>
      <c r="J102" s="701"/>
    </row>
    <row r="103" spans="1:10" ht="18.75" x14ac:dyDescent="0.3">
      <c r="C103" s="702" t="s">
        <v>116</v>
      </c>
      <c r="D103" s="703">
        <f>AVERAGE(E91:E94,G91:G94)</f>
        <v>72311220.535090789</v>
      </c>
      <c r="F103" s="631"/>
      <c r="G103" s="698"/>
      <c r="H103" s="608"/>
      <c r="J103" s="704"/>
    </row>
    <row r="104" spans="1:10" ht="18.75" x14ac:dyDescent="0.3">
      <c r="C104" s="672" t="s">
        <v>83</v>
      </c>
      <c r="D104" s="705">
        <f>STDEV(E91:E94,G91:G94)/D103</f>
        <v>1.5573851554877694E-2</v>
      </c>
      <c r="F104" s="631"/>
      <c r="H104" s="608"/>
      <c r="J104" s="704"/>
    </row>
    <row r="105" spans="1:10" ht="19.5" customHeight="1" thickBot="1" x14ac:dyDescent="0.35">
      <c r="C105" s="674" t="s">
        <v>19</v>
      </c>
      <c r="D105" s="706">
        <f>COUNT(E91:E94,G91:G94)</f>
        <v>6</v>
      </c>
      <c r="F105" s="631"/>
      <c r="H105" s="608"/>
      <c r="J105" s="704"/>
    </row>
    <row r="106" spans="1:10" ht="19.5" customHeight="1" thickBot="1" x14ac:dyDescent="0.35">
      <c r="A106" s="635"/>
      <c r="B106" s="635"/>
      <c r="C106" s="635"/>
      <c r="D106" s="635"/>
      <c r="E106" s="635"/>
    </row>
    <row r="107" spans="1:10" ht="26.25" customHeight="1" x14ac:dyDescent="0.4">
      <c r="A107" s="577" t="s">
        <v>117</v>
      </c>
      <c r="B107" s="578">
        <v>900</v>
      </c>
      <c r="C107" s="679" t="s">
        <v>118</v>
      </c>
      <c r="D107" s="707" t="s">
        <v>62</v>
      </c>
      <c r="E107" s="708" t="s">
        <v>119</v>
      </c>
      <c r="F107" s="709" t="s">
        <v>120</v>
      </c>
    </row>
    <row r="108" spans="1:10" ht="26.25" customHeight="1" x14ac:dyDescent="0.4">
      <c r="A108" s="582" t="s">
        <v>121</v>
      </c>
      <c r="B108" s="583">
        <v>1</v>
      </c>
      <c r="C108" s="710">
        <v>1</v>
      </c>
      <c r="D108" s="711">
        <v>59019201</v>
      </c>
      <c r="E108" s="712">
        <f t="shared" ref="E108:E113" si="1">IF(ISBLANK(D108),"-",D108/$D$103*$D$100*$B$116)</f>
        <v>204.04579179852001</v>
      </c>
      <c r="F108" s="713">
        <f t="shared" ref="F108:F113" si="2">IF(ISBLANK(D108), "-", E108/$B$56)</f>
        <v>0.81618316719408002</v>
      </c>
    </row>
    <row r="109" spans="1:10" ht="26.25" customHeight="1" x14ac:dyDescent="0.4">
      <c r="A109" s="582" t="s">
        <v>94</v>
      </c>
      <c r="B109" s="583">
        <v>1</v>
      </c>
      <c r="C109" s="710">
        <v>2</v>
      </c>
      <c r="D109" s="711">
        <v>59591281</v>
      </c>
      <c r="E109" s="714">
        <f t="shared" si="1"/>
        <v>206.02363146076988</v>
      </c>
      <c r="F109" s="715">
        <f t="shared" si="2"/>
        <v>0.82409452584307952</v>
      </c>
    </row>
    <row r="110" spans="1:10" ht="26.25" customHeight="1" x14ac:dyDescent="0.4">
      <c r="A110" s="582" t="s">
        <v>95</v>
      </c>
      <c r="B110" s="583">
        <v>1</v>
      </c>
      <c r="C110" s="710">
        <v>3</v>
      </c>
      <c r="D110" s="711">
        <v>62353014</v>
      </c>
      <c r="E110" s="714">
        <f t="shared" si="1"/>
        <v>215.57171051255341</v>
      </c>
      <c r="F110" s="715">
        <f t="shared" si="2"/>
        <v>0.86228684205021366</v>
      </c>
    </row>
    <row r="111" spans="1:10" ht="26.25" customHeight="1" x14ac:dyDescent="0.4">
      <c r="A111" s="582" t="s">
        <v>96</v>
      </c>
      <c r="B111" s="583">
        <v>1</v>
      </c>
      <c r="C111" s="710">
        <v>4</v>
      </c>
      <c r="D111" s="711">
        <v>63753369</v>
      </c>
      <c r="E111" s="714">
        <f t="shared" si="1"/>
        <v>220.41312720292876</v>
      </c>
      <c r="F111" s="715">
        <f t="shared" si="2"/>
        <v>0.88165250881171509</v>
      </c>
    </row>
    <row r="112" spans="1:10" ht="26.25" customHeight="1" x14ac:dyDescent="0.4">
      <c r="A112" s="582" t="s">
        <v>97</v>
      </c>
      <c r="B112" s="583">
        <v>1</v>
      </c>
      <c r="C112" s="710">
        <v>5</v>
      </c>
      <c r="D112" s="711">
        <v>61162965</v>
      </c>
      <c r="E112" s="714">
        <f t="shared" si="1"/>
        <v>211.45738015277718</v>
      </c>
      <c r="F112" s="715">
        <f t="shared" si="2"/>
        <v>0.84582952061110872</v>
      </c>
    </row>
    <row r="113" spans="1:10" ht="26.25" customHeight="1" x14ac:dyDescent="0.4">
      <c r="A113" s="582" t="s">
        <v>99</v>
      </c>
      <c r="B113" s="583">
        <v>1</v>
      </c>
      <c r="C113" s="716">
        <v>6</v>
      </c>
      <c r="D113" s="717">
        <v>61636082</v>
      </c>
      <c r="E113" s="718">
        <f t="shared" si="1"/>
        <v>213.09307720124011</v>
      </c>
      <c r="F113" s="719">
        <f t="shared" si="2"/>
        <v>0.8523723088049604</v>
      </c>
    </row>
    <row r="114" spans="1:10" ht="26.25" customHeight="1" x14ac:dyDescent="0.4">
      <c r="A114" s="582" t="s">
        <v>100</v>
      </c>
      <c r="B114" s="583">
        <v>1</v>
      </c>
      <c r="C114" s="710"/>
      <c r="D114" s="613"/>
      <c r="E114" s="538"/>
      <c r="F114" s="720"/>
    </row>
    <row r="115" spans="1:10" ht="26.25" customHeight="1" x14ac:dyDescent="0.4">
      <c r="A115" s="582" t="s">
        <v>101</v>
      </c>
      <c r="B115" s="583">
        <v>1</v>
      </c>
      <c r="C115" s="710"/>
      <c r="D115" s="721" t="s">
        <v>70</v>
      </c>
      <c r="E115" s="722">
        <f>AVERAGE(E108:E113)</f>
        <v>211.76745305479821</v>
      </c>
      <c r="F115" s="723">
        <f>AVERAGE(F108:F113)</f>
        <v>0.84706981221919297</v>
      </c>
    </row>
    <row r="116" spans="1:10" ht="27" customHeight="1" thickBot="1" x14ac:dyDescent="0.45">
      <c r="A116" s="582" t="s">
        <v>102</v>
      </c>
      <c r="B116" s="594">
        <f>(B115/B114)*(B113/B112)*(B111/B110)*(B109/B108)*B107</f>
        <v>900</v>
      </c>
      <c r="C116" s="724"/>
      <c r="D116" s="556" t="s">
        <v>83</v>
      </c>
      <c r="E116" s="725">
        <f>STDEV(E108:E113)/E115</f>
        <v>2.8621829016679839E-2</v>
      </c>
      <c r="F116" s="725">
        <f>STDEV(F108:F113)/F115</f>
        <v>2.8621829016679864E-2</v>
      </c>
      <c r="I116" s="538"/>
    </row>
    <row r="117" spans="1:10" ht="27" customHeight="1" thickBot="1" x14ac:dyDescent="0.45">
      <c r="A117" s="616" t="s">
        <v>77</v>
      </c>
      <c r="B117" s="617"/>
      <c r="C117" s="726"/>
      <c r="D117" s="727" t="s">
        <v>19</v>
      </c>
      <c r="E117" s="728">
        <f>COUNT(E108:E113)</f>
        <v>6</v>
      </c>
      <c r="F117" s="728">
        <f>COUNT(F108:F113)</f>
        <v>6</v>
      </c>
      <c r="I117" s="538"/>
      <c r="J117" s="704"/>
    </row>
    <row r="118" spans="1:10" ht="19.5" customHeight="1" thickBot="1" x14ac:dyDescent="0.35">
      <c r="A118" s="621"/>
      <c r="B118" s="622"/>
      <c r="C118" s="538"/>
      <c r="D118" s="538"/>
      <c r="E118" s="538"/>
      <c r="F118" s="613"/>
      <c r="G118" s="538"/>
      <c r="H118" s="538"/>
      <c r="I118" s="538"/>
    </row>
    <row r="119" spans="1:10" ht="18.75" x14ac:dyDescent="0.3">
      <c r="A119" s="729"/>
      <c r="B119" s="575"/>
      <c r="C119" s="538"/>
      <c r="D119" s="538"/>
      <c r="E119" s="538"/>
      <c r="F119" s="613"/>
      <c r="G119" s="538"/>
      <c r="H119" s="538"/>
      <c r="I119" s="538"/>
    </row>
    <row r="120" spans="1:10" ht="26.25" customHeight="1" x14ac:dyDescent="0.4">
      <c r="A120" s="555" t="s">
        <v>105</v>
      </c>
      <c r="B120" s="556" t="s">
        <v>122</v>
      </c>
      <c r="C120" s="676" t="str">
        <f>B20</f>
        <v>Amoxicillin &amp; Clavulanic Acid</v>
      </c>
      <c r="D120" s="676"/>
      <c r="E120" s="538" t="s">
        <v>123</v>
      </c>
      <c r="F120" s="538"/>
      <c r="G120" s="677">
        <f>F115</f>
        <v>0.84706981221919297</v>
      </c>
      <c r="H120" s="538"/>
      <c r="I120" s="538"/>
    </row>
    <row r="121" spans="1:10" ht="19.5" customHeight="1" thickBot="1" x14ac:dyDescent="0.35">
      <c r="A121" s="730"/>
      <c r="B121" s="730"/>
      <c r="C121" s="731"/>
      <c r="D121" s="731"/>
      <c r="E121" s="731"/>
      <c r="F121" s="731"/>
      <c r="G121" s="731"/>
      <c r="H121" s="731"/>
    </row>
    <row r="122" spans="1:10" ht="18.75" x14ac:dyDescent="0.3">
      <c r="B122" s="732" t="s">
        <v>25</v>
      </c>
      <c r="C122" s="732"/>
      <c r="E122" s="681" t="s">
        <v>26</v>
      </c>
      <c r="F122" s="733"/>
      <c r="G122" s="732" t="s">
        <v>27</v>
      </c>
      <c r="H122" s="732"/>
    </row>
    <row r="123" spans="1:10" ht="69.95" customHeight="1" x14ac:dyDescent="0.3">
      <c r="A123" s="555" t="s">
        <v>28</v>
      </c>
      <c r="B123" s="734"/>
      <c r="C123" s="734"/>
      <c r="E123" s="734"/>
      <c r="F123" s="538"/>
      <c r="G123" s="734"/>
      <c r="H123" s="734"/>
    </row>
    <row r="124" spans="1:10" ht="69.95" customHeight="1" x14ac:dyDescent="0.3">
      <c r="A124" s="555" t="s">
        <v>29</v>
      </c>
      <c r="B124" s="735"/>
      <c r="C124" s="735"/>
      <c r="E124" s="735"/>
      <c r="F124" s="538"/>
      <c r="G124" s="736"/>
      <c r="H124" s="736"/>
    </row>
    <row r="125" spans="1:10" ht="18.75" x14ac:dyDescent="0.3">
      <c r="A125" s="613"/>
      <c r="B125" s="613"/>
      <c r="C125" s="613"/>
      <c r="D125" s="613"/>
      <c r="E125" s="613"/>
      <c r="F125" s="615"/>
      <c r="G125" s="613"/>
      <c r="H125" s="613"/>
      <c r="I125" s="538"/>
    </row>
    <row r="126" spans="1:10" ht="18.75" x14ac:dyDescent="0.3">
      <c r="A126" s="613"/>
      <c r="B126" s="613"/>
      <c r="C126" s="613"/>
      <c r="D126" s="613"/>
      <c r="E126" s="613"/>
      <c r="F126" s="615"/>
      <c r="G126" s="613"/>
      <c r="H126" s="613"/>
      <c r="I126" s="538"/>
    </row>
    <row r="127" spans="1:10" ht="18.75" x14ac:dyDescent="0.3">
      <c r="A127" s="613"/>
      <c r="B127" s="613"/>
      <c r="C127" s="613"/>
      <c r="D127" s="613"/>
      <c r="E127" s="613"/>
      <c r="F127" s="615"/>
      <c r="G127" s="613"/>
      <c r="H127" s="613"/>
      <c r="I127" s="538"/>
    </row>
    <row r="128" spans="1:10" ht="18.75" x14ac:dyDescent="0.3">
      <c r="A128" s="613"/>
      <c r="B128" s="613"/>
      <c r="C128" s="613"/>
      <c r="D128" s="613"/>
      <c r="E128" s="613"/>
      <c r="F128" s="615"/>
      <c r="G128" s="613"/>
      <c r="H128" s="613"/>
      <c r="I128" s="538"/>
    </row>
    <row r="129" spans="1:9" ht="18.75" x14ac:dyDescent="0.3">
      <c r="A129" s="613"/>
      <c r="B129" s="613"/>
      <c r="C129" s="613"/>
      <c r="D129" s="613"/>
      <c r="E129" s="613"/>
      <c r="F129" s="615"/>
      <c r="G129" s="613"/>
      <c r="H129" s="613"/>
      <c r="I129" s="538"/>
    </row>
    <row r="130" spans="1:9" ht="18.75" x14ac:dyDescent="0.3">
      <c r="A130" s="613"/>
      <c r="B130" s="613"/>
      <c r="C130" s="613"/>
      <c r="D130" s="613"/>
      <c r="E130" s="613"/>
      <c r="F130" s="615"/>
      <c r="G130" s="613"/>
      <c r="H130" s="613"/>
      <c r="I130" s="538"/>
    </row>
    <row r="131" spans="1:9" ht="18.75" x14ac:dyDescent="0.3">
      <c r="A131" s="613"/>
      <c r="B131" s="613"/>
      <c r="C131" s="613"/>
      <c r="D131" s="613"/>
      <c r="E131" s="613"/>
      <c r="F131" s="615"/>
      <c r="G131" s="613"/>
      <c r="H131" s="613"/>
      <c r="I131" s="538"/>
    </row>
    <row r="132" spans="1:9" ht="18.75" x14ac:dyDescent="0.3">
      <c r="A132" s="613"/>
      <c r="B132" s="613"/>
      <c r="C132" s="613"/>
      <c r="D132" s="613"/>
      <c r="E132" s="613"/>
      <c r="F132" s="615"/>
      <c r="G132" s="613"/>
      <c r="H132" s="613"/>
      <c r="I132" s="538"/>
    </row>
    <row r="133" spans="1:9" ht="18.75" x14ac:dyDescent="0.3">
      <c r="A133" s="613"/>
      <c r="B133" s="613"/>
      <c r="C133" s="613"/>
      <c r="D133" s="613"/>
      <c r="E133" s="613"/>
      <c r="F133" s="615"/>
      <c r="G133" s="613"/>
      <c r="H133" s="613"/>
      <c r="I133" s="538"/>
    </row>
    <row r="250" spans="1:1" x14ac:dyDescent="0.25">
      <c r="A250" s="536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1" zoomScale="60" zoomScaleNormal="40" zoomScalePageLayoutView="50" workbookViewId="0">
      <selection activeCell="E112" sqref="E112"/>
    </sheetView>
  </sheetViews>
  <sheetFormatPr defaultColWidth="9.140625" defaultRowHeight="13.5" x14ac:dyDescent="0.25"/>
  <cols>
    <col min="1" max="1" width="55.42578125" style="417" customWidth="1"/>
    <col min="2" max="2" width="33.7109375" style="417" customWidth="1"/>
    <col min="3" max="3" width="42.28515625" style="417" customWidth="1"/>
    <col min="4" max="4" width="30.5703125" style="417" customWidth="1"/>
    <col min="5" max="5" width="39.85546875" style="417" customWidth="1"/>
    <col min="6" max="6" width="30.7109375" style="417" customWidth="1"/>
    <col min="7" max="7" width="39.85546875" style="417" customWidth="1"/>
    <col min="8" max="8" width="30" style="417" customWidth="1"/>
    <col min="9" max="9" width="30.28515625" style="417" hidden="1" customWidth="1"/>
    <col min="10" max="10" width="30.42578125" style="417" customWidth="1"/>
    <col min="11" max="11" width="21.28515625" style="417" customWidth="1"/>
    <col min="12" max="12" width="9.140625" style="417"/>
    <col min="13" max="16384" width="9.140625" style="455"/>
  </cols>
  <sheetData>
    <row r="1" spans="1:9" ht="18.75" customHeight="1" x14ac:dyDescent="0.25">
      <c r="A1" s="737" t="s">
        <v>44</v>
      </c>
      <c r="B1" s="737"/>
      <c r="C1" s="737"/>
      <c r="D1" s="737"/>
      <c r="E1" s="737"/>
      <c r="F1" s="737"/>
      <c r="G1" s="737"/>
      <c r="H1" s="737"/>
      <c r="I1" s="737"/>
    </row>
    <row r="2" spans="1:9" ht="18.75" customHeight="1" x14ac:dyDescent="0.25">
      <c r="A2" s="737"/>
      <c r="B2" s="737"/>
      <c r="C2" s="737"/>
      <c r="D2" s="737"/>
      <c r="E2" s="737"/>
      <c r="F2" s="737"/>
      <c r="G2" s="737"/>
      <c r="H2" s="737"/>
      <c r="I2" s="737"/>
    </row>
    <row r="3" spans="1:9" ht="18.75" customHeight="1" x14ac:dyDescent="0.25">
      <c r="A3" s="737"/>
      <c r="B3" s="737"/>
      <c r="C3" s="737"/>
      <c r="D3" s="737"/>
      <c r="E3" s="737"/>
      <c r="F3" s="737"/>
      <c r="G3" s="737"/>
      <c r="H3" s="737"/>
      <c r="I3" s="737"/>
    </row>
    <row r="4" spans="1:9" ht="18.75" customHeight="1" x14ac:dyDescent="0.25">
      <c r="A4" s="737"/>
      <c r="B4" s="737"/>
      <c r="C4" s="737"/>
      <c r="D4" s="737"/>
      <c r="E4" s="737"/>
      <c r="F4" s="737"/>
      <c r="G4" s="737"/>
      <c r="H4" s="737"/>
      <c r="I4" s="737"/>
    </row>
    <row r="5" spans="1:9" ht="18.75" customHeight="1" x14ac:dyDescent="0.25">
      <c r="A5" s="737"/>
      <c r="B5" s="737"/>
      <c r="C5" s="737"/>
      <c r="D5" s="737"/>
      <c r="E5" s="737"/>
      <c r="F5" s="737"/>
      <c r="G5" s="737"/>
      <c r="H5" s="737"/>
      <c r="I5" s="737"/>
    </row>
    <row r="6" spans="1:9" ht="18.75" customHeight="1" x14ac:dyDescent="0.25">
      <c r="A6" s="737"/>
      <c r="B6" s="737"/>
      <c r="C6" s="737"/>
      <c r="D6" s="737"/>
      <c r="E6" s="737"/>
      <c r="F6" s="737"/>
      <c r="G6" s="737"/>
      <c r="H6" s="737"/>
      <c r="I6" s="737"/>
    </row>
    <row r="7" spans="1:9" ht="18.75" customHeight="1" x14ac:dyDescent="0.25">
      <c r="A7" s="737"/>
      <c r="B7" s="737"/>
      <c r="C7" s="737"/>
      <c r="D7" s="737"/>
      <c r="E7" s="737"/>
      <c r="F7" s="737"/>
      <c r="G7" s="737"/>
      <c r="H7" s="737"/>
      <c r="I7" s="737"/>
    </row>
    <row r="8" spans="1:9" x14ac:dyDescent="0.25">
      <c r="A8" s="738" t="s">
        <v>45</v>
      </c>
      <c r="B8" s="738"/>
      <c r="C8" s="738"/>
      <c r="D8" s="738"/>
      <c r="E8" s="738"/>
      <c r="F8" s="738"/>
      <c r="G8" s="738"/>
      <c r="H8" s="738"/>
      <c r="I8" s="738"/>
    </row>
    <row r="9" spans="1:9" x14ac:dyDescent="0.25">
      <c r="A9" s="738"/>
      <c r="B9" s="738"/>
      <c r="C9" s="738"/>
      <c r="D9" s="738"/>
      <c r="E9" s="738"/>
      <c r="F9" s="738"/>
      <c r="G9" s="738"/>
      <c r="H9" s="738"/>
      <c r="I9" s="738"/>
    </row>
    <row r="10" spans="1:9" x14ac:dyDescent="0.25">
      <c r="A10" s="738"/>
      <c r="B10" s="738"/>
      <c r="C10" s="738"/>
      <c r="D10" s="738"/>
      <c r="E10" s="738"/>
      <c r="F10" s="738"/>
      <c r="G10" s="738"/>
      <c r="H10" s="738"/>
      <c r="I10" s="738"/>
    </row>
    <row r="11" spans="1:9" x14ac:dyDescent="0.25">
      <c r="A11" s="738"/>
      <c r="B11" s="738"/>
      <c r="C11" s="738"/>
      <c r="D11" s="738"/>
      <c r="E11" s="738"/>
      <c r="F11" s="738"/>
      <c r="G11" s="738"/>
      <c r="H11" s="738"/>
      <c r="I11" s="738"/>
    </row>
    <row r="12" spans="1:9" x14ac:dyDescent="0.25">
      <c r="A12" s="738"/>
      <c r="B12" s="738"/>
      <c r="C12" s="738"/>
      <c r="D12" s="738"/>
      <c r="E12" s="738"/>
      <c r="F12" s="738"/>
      <c r="G12" s="738"/>
      <c r="H12" s="738"/>
      <c r="I12" s="738"/>
    </row>
    <row r="13" spans="1:9" x14ac:dyDescent="0.25">
      <c r="A13" s="738"/>
      <c r="B13" s="738"/>
      <c r="C13" s="738"/>
      <c r="D13" s="738"/>
      <c r="E13" s="738"/>
      <c r="F13" s="738"/>
      <c r="G13" s="738"/>
      <c r="H13" s="738"/>
      <c r="I13" s="738"/>
    </row>
    <row r="14" spans="1:9" x14ac:dyDescent="0.25">
      <c r="A14" s="738"/>
      <c r="B14" s="738"/>
      <c r="C14" s="738"/>
      <c r="D14" s="738"/>
      <c r="E14" s="738"/>
      <c r="F14" s="738"/>
      <c r="G14" s="738"/>
      <c r="H14" s="738"/>
      <c r="I14" s="738"/>
    </row>
    <row r="15" spans="1:9" ht="19.5" customHeight="1" thickBot="1" x14ac:dyDescent="0.35">
      <c r="A15" s="739"/>
    </row>
    <row r="16" spans="1:9" ht="19.5" customHeight="1" thickBot="1" x14ac:dyDescent="0.35">
      <c r="A16" s="740" t="s">
        <v>30</v>
      </c>
      <c r="B16" s="741"/>
      <c r="C16" s="741"/>
      <c r="D16" s="741"/>
      <c r="E16" s="741"/>
      <c r="F16" s="741"/>
      <c r="G16" s="741"/>
      <c r="H16" s="742"/>
    </row>
    <row r="17" spans="1:14" ht="20.25" customHeight="1" x14ac:dyDescent="0.25">
      <c r="A17" s="743" t="s">
        <v>46</v>
      </c>
      <c r="B17" s="743"/>
      <c r="C17" s="743"/>
      <c r="D17" s="743"/>
      <c r="E17" s="743"/>
      <c r="F17" s="743"/>
      <c r="G17" s="743"/>
      <c r="H17" s="743"/>
    </row>
    <row r="18" spans="1:14" ht="26.25" customHeight="1" x14ac:dyDescent="0.4">
      <c r="A18" s="744" t="s">
        <v>32</v>
      </c>
      <c r="B18" s="745" t="s">
        <v>4</v>
      </c>
      <c r="C18" s="745"/>
      <c r="D18" s="746"/>
      <c r="E18" s="747"/>
      <c r="F18" s="748"/>
      <c r="G18" s="748"/>
      <c r="H18" s="748"/>
    </row>
    <row r="19" spans="1:14" ht="26.25" customHeight="1" x14ac:dyDescent="0.4">
      <c r="A19" s="744" t="s">
        <v>33</v>
      </c>
      <c r="B19" s="749" t="s">
        <v>6</v>
      </c>
      <c r="C19" s="748">
        <v>29</v>
      </c>
      <c r="D19" s="748"/>
      <c r="E19" s="748"/>
      <c r="F19" s="748"/>
      <c r="G19" s="748"/>
      <c r="H19" s="748"/>
    </row>
    <row r="20" spans="1:14" ht="26.25" customHeight="1" x14ac:dyDescent="0.4">
      <c r="A20" s="744" t="s">
        <v>34</v>
      </c>
      <c r="B20" s="750" t="s">
        <v>8</v>
      </c>
      <c r="C20" s="750"/>
      <c r="D20" s="748"/>
      <c r="E20" s="748"/>
      <c r="F20" s="748"/>
      <c r="G20" s="748"/>
      <c r="H20" s="748"/>
    </row>
    <row r="21" spans="1:14" ht="26.25" customHeight="1" x14ac:dyDescent="0.4">
      <c r="A21" s="744" t="s">
        <v>35</v>
      </c>
      <c r="B21" s="750" t="s">
        <v>10</v>
      </c>
      <c r="C21" s="750"/>
      <c r="D21" s="750"/>
      <c r="E21" s="750"/>
      <c r="F21" s="750"/>
      <c r="G21" s="750"/>
      <c r="H21" s="750"/>
      <c r="I21" s="751"/>
    </row>
    <row r="22" spans="1:14" ht="26.25" customHeight="1" x14ac:dyDescent="0.4">
      <c r="A22" s="744" t="s">
        <v>36</v>
      </c>
      <c r="B22" s="752" t="s">
        <v>11</v>
      </c>
      <c r="C22" s="748"/>
      <c r="D22" s="748"/>
      <c r="E22" s="748"/>
      <c r="F22" s="748"/>
      <c r="G22" s="748"/>
      <c r="H22" s="748"/>
    </row>
    <row r="23" spans="1:14" ht="26.25" customHeight="1" x14ac:dyDescent="0.4">
      <c r="A23" s="744" t="s">
        <v>37</v>
      </c>
      <c r="B23" s="752"/>
      <c r="C23" s="748"/>
      <c r="D23" s="748"/>
      <c r="E23" s="748"/>
      <c r="F23" s="748"/>
      <c r="G23" s="748"/>
      <c r="H23" s="748"/>
    </row>
    <row r="24" spans="1:14" ht="18.75" x14ac:dyDescent="0.3">
      <c r="A24" s="744"/>
      <c r="B24" s="753"/>
    </row>
    <row r="25" spans="1:14" ht="18.75" x14ac:dyDescent="0.3">
      <c r="A25" s="754" t="s">
        <v>1</v>
      </c>
      <c r="B25" s="753"/>
    </row>
    <row r="26" spans="1:14" ht="26.25" customHeight="1" x14ac:dyDescent="0.4">
      <c r="A26" s="755" t="s">
        <v>3</v>
      </c>
      <c r="B26" s="745" t="s">
        <v>125</v>
      </c>
      <c r="C26" s="745"/>
    </row>
    <row r="27" spans="1:14" ht="26.25" customHeight="1" x14ac:dyDescent="0.4">
      <c r="A27" s="756" t="s">
        <v>47</v>
      </c>
      <c r="B27" s="757"/>
      <c r="C27" s="757"/>
    </row>
    <row r="28" spans="1:14" ht="27" customHeight="1" thickBot="1" x14ac:dyDescent="0.45">
      <c r="A28" s="756" t="s">
        <v>5</v>
      </c>
      <c r="B28" s="758">
        <v>96.4</v>
      </c>
    </row>
    <row r="29" spans="1:14" s="428" customFormat="1" ht="27" customHeight="1" thickBot="1" x14ac:dyDescent="0.45">
      <c r="A29" s="756" t="s">
        <v>48</v>
      </c>
      <c r="B29" s="759"/>
      <c r="C29" s="760" t="s">
        <v>49</v>
      </c>
      <c r="D29" s="761"/>
      <c r="E29" s="761"/>
      <c r="F29" s="761"/>
      <c r="G29" s="762"/>
      <c r="I29" s="763"/>
      <c r="J29" s="763"/>
      <c r="K29" s="763"/>
      <c r="L29" s="763"/>
    </row>
    <row r="30" spans="1:14" s="428" customFormat="1" ht="19.5" customHeight="1" thickBot="1" x14ac:dyDescent="0.35">
      <c r="A30" s="756" t="s">
        <v>50</v>
      </c>
      <c r="B30" s="764">
        <f>B28-B29</f>
        <v>96.4</v>
      </c>
      <c r="C30" s="765"/>
      <c r="D30" s="765"/>
      <c r="E30" s="765"/>
      <c r="F30" s="765"/>
      <c r="G30" s="766"/>
      <c r="I30" s="763"/>
      <c r="J30" s="763"/>
      <c r="K30" s="763"/>
      <c r="L30" s="763"/>
    </row>
    <row r="31" spans="1:14" s="428" customFormat="1" ht="27" customHeight="1" thickBot="1" x14ac:dyDescent="0.45">
      <c r="A31" s="756" t="s">
        <v>51</v>
      </c>
      <c r="B31" s="767">
        <v>1</v>
      </c>
      <c r="C31" s="768" t="s">
        <v>52</v>
      </c>
      <c r="D31" s="769"/>
      <c r="E31" s="769"/>
      <c r="F31" s="769"/>
      <c r="G31" s="769"/>
      <c r="H31" s="770"/>
      <c r="I31" s="763"/>
      <c r="J31" s="763"/>
      <c r="K31" s="763"/>
      <c r="L31" s="763"/>
    </row>
    <row r="32" spans="1:14" s="428" customFormat="1" ht="27" customHeight="1" thickBot="1" x14ac:dyDescent="0.45">
      <c r="A32" s="756" t="s">
        <v>53</v>
      </c>
      <c r="B32" s="767">
        <v>1</v>
      </c>
      <c r="C32" s="768" t="s">
        <v>54</v>
      </c>
      <c r="D32" s="769"/>
      <c r="E32" s="769"/>
      <c r="F32" s="769"/>
      <c r="G32" s="769"/>
      <c r="H32" s="770"/>
      <c r="I32" s="763"/>
      <c r="J32" s="763"/>
      <c r="K32" s="763"/>
      <c r="L32" s="771"/>
      <c r="M32" s="771"/>
      <c r="N32" s="772"/>
    </row>
    <row r="33" spans="1:14" s="428" customFormat="1" ht="17.25" customHeight="1" x14ac:dyDescent="0.3">
      <c r="A33" s="756"/>
      <c r="B33" s="773"/>
      <c r="C33" s="774"/>
      <c r="D33" s="774"/>
      <c r="E33" s="774"/>
      <c r="F33" s="774"/>
      <c r="G33" s="774"/>
      <c r="H33" s="774"/>
      <c r="I33" s="763"/>
      <c r="J33" s="763"/>
      <c r="K33" s="763"/>
      <c r="L33" s="771"/>
      <c r="M33" s="771"/>
      <c r="N33" s="772"/>
    </row>
    <row r="34" spans="1:14" s="428" customFormat="1" ht="18.75" x14ac:dyDescent="0.3">
      <c r="A34" s="756" t="s">
        <v>55</v>
      </c>
      <c r="B34" s="775">
        <f>B31/B32</f>
        <v>1</v>
      </c>
      <c r="C34" s="739" t="s">
        <v>56</v>
      </c>
      <c r="D34" s="739"/>
      <c r="E34" s="739"/>
      <c r="F34" s="739"/>
      <c r="G34" s="739"/>
      <c r="I34" s="763"/>
      <c r="J34" s="763"/>
      <c r="K34" s="763"/>
      <c r="L34" s="771"/>
      <c r="M34" s="771"/>
      <c r="N34" s="772"/>
    </row>
    <row r="35" spans="1:14" s="428" customFormat="1" ht="19.5" customHeight="1" thickBot="1" x14ac:dyDescent="0.35">
      <c r="A35" s="756"/>
      <c r="B35" s="764"/>
      <c r="G35" s="739"/>
      <c r="I35" s="763"/>
      <c r="J35" s="763"/>
      <c r="K35" s="763"/>
      <c r="L35" s="771"/>
      <c r="M35" s="771"/>
      <c r="N35" s="772"/>
    </row>
    <row r="36" spans="1:14" s="428" customFormat="1" ht="27" customHeight="1" thickBot="1" x14ac:dyDescent="0.45">
      <c r="A36" s="776" t="s">
        <v>57</v>
      </c>
      <c r="B36" s="777">
        <v>20</v>
      </c>
      <c r="C36" s="739"/>
      <c r="D36" s="778" t="s">
        <v>58</v>
      </c>
      <c r="E36" s="779"/>
      <c r="F36" s="778" t="s">
        <v>59</v>
      </c>
      <c r="G36" s="780"/>
      <c r="J36" s="763"/>
      <c r="K36" s="763"/>
      <c r="L36" s="771"/>
      <c r="M36" s="771"/>
      <c r="N36" s="772"/>
    </row>
    <row r="37" spans="1:14" s="428" customFormat="1" ht="27" customHeight="1" thickBot="1" x14ac:dyDescent="0.45">
      <c r="A37" s="781" t="s">
        <v>60</v>
      </c>
      <c r="B37" s="782">
        <v>3</v>
      </c>
      <c r="C37" s="783" t="s">
        <v>61</v>
      </c>
      <c r="D37" s="784" t="s">
        <v>62</v>
      </c>
      <c r="E37" s="785" t="s">
        <v>63</v>
      </c>
      <c r="F37" s="784" t="s">
        <v>62</v>
      </c>
      <c r="G37" s="786" t="s">
        <v>63</v>
      </c>
      <c r="I37" s="787" t="s">
        <v>64</v>
      </c>
      <c r="J37" s="763"/>
      <c r="K37" s="763"/>
      <c r="L37" s="771"/>
      <c r="M37" s="771"/>
      <c r="N37" s="772"/>
    </row>
    <row r="38" spans="1:14" s="428" customFormat="1" ht="26.25" customHeight="1" x14ac:dyDescent="0.4">
      <c r="A38" s="781" t="s">
        <v>65</v>
      </c>
      <c r="B38" s="782">
        <v>25</v>
      </c>
      <c r="C38" s="788">
        <v>1</v>
      </c>
      <c r="D38" s="789">
        <v>18619364</v>
      </c>
      <c r="E38" s="790">
        <f>IF(ISBLANK(D38),"-",$D$48/$D$45*D38)</f>
        <v>19290001.743825994</v>
      </c>
      <c r="F38" s="789">
        <v>19696819</v>
      </c>
      <c r="G38" s="791">
        <f>IF(ISBLANK(F38),"-",$D$48/$F$45*F38)</f>
        <v>19348849.294291463</v>
      </c>
      <c r="I38" s="792"/>
      <c r="J38" s="763"/>
      <c r="K38" s="763"/>
      <c r="L38" s="771"/>
      <c r="M38" s="771"/>
      <c r="N38" s="772"/>
    </row>
    <row r="39" spans="1:14" s="428" customFormat="1" ht="26.25" customHeight="1" x14ac:dyDescent="0.4">
      <c r="A39" s="781" t="s">
        <v>66</v>
      </c>
      <c r="B39" s="782">
        <v>1</v>
      </c>
      <c r="C39" s="793">
        <v>2</v>
      </c>
      <c r="D39" s="794">
        <v>18623821</v>
      </c>
      <c r="E39" s="795">
        <f>IF(ISBLANK(D39),"-",$D$48/$D$45*D39)</f>
        <v>19294619.277366467</v>
      </c>
      <c r="F39" s="794">
        <v>19576297</v>
      </c>
      <c r="G39" s="796">
        <f>IF(ISBLANK(F39),"-",$D$48/$F$45*F39)</f>
        <v>19230456.470828619</v>
      </c>
      <c r="I39" s="797">
        <f>ABS((F43/D43*D42)-F42)/D42</f>
        <v>7.5945714155624131E-3</v>
      </c>
      <c r="J39" s="763"/>
      <c r="K39" s="763"/>
      <c r="L39" s="771"/>
      <c r="M39" s="771"/>
      <c r="N39" s="772"/>
    </row>
    <row r="40" spans="1:14" ht="26.25" customHeight="1" x14ac:dyDescent="0.4">
      <c r="A40" s="781" t="s">
        <v>67</v>
      </c>
      <c r="B40" s="782">
        <v>1</v>
      </c>
      <c r="C40" s="793">
        <v>3</v>
      </c>
      <c r="D40" s="794">
        <v>18863143</v>
      </c>
      <c r="E40" s="795">
        <f>IF(ISBLANK(D40),"-",$D$48/$D$45*D40)</f>
        <v>19542561.247743968</v>
      </c>
      <c r="F40" s="794">
        <v>19473322</v>
      </c>
      <c r="G40" s="796">
        <f>IF(ISBLANK(F40),"-",$D$48/$F$45*F40)</f>
        <v>19129300.656984784</v>
      </c>
      <c r="I40" s="797"/>
      <c r="L40" s="771"/>
      <c r="M40" s="771"/>
      <c r="N40" s="739"/>
    </row>
    <row r="41" spans="1:14" ht="27" customHeight="1" thickBot="1" x14ac:dyDescent="0.45">
      <c r="A41" s="781" t="s">
        <v>68</v>
      </c>
      <c r="B41" s="782">
        <v>1</v>
      </c>
      <c r="C41" s="798">
        <v>4</v>
      </c>
      <c r="D41" s="799"/>
      <c r="E41" s="800" t="str">
        <f>IF(ISBLANK(D41),"-",$D$48/$D$45*D41)</f>
        <v>-</v>
      </c>
      <c r="F41" s="799"/>
      <c r="G41" s="801" t="str">
        <f>IF(ISBLANK(F41),"-",$D$48/$F$45*F41)</f>
        <v>-</v>
      </c>
      <c r="I41" s="802"/>
      <c r="L41" s="771"/>
      <c r="M41" s="771"/>
      <c r="N41" s="739"/>
    </row>
    <row r="42" spans="1:14" ht="27" customHeight="1" thickBot="1" x14ac:dyDescent="0.45">
      <c r="A42" s="781" t="s">
        <v>69</v>
      </c>
      <c r="B42" s="782">
        <v>1</v>
      </c>
      <c r="C42" s="803" t="s">
        <v>70</v>
      </c>
      <c r="D42" s="804">
        <f>AVERAGE(D38:D41)</f>
        <v>18702109.333333332</v>
      </c>
      <c r="E42" s="805">
        <f>AVERAGE(E38:E41)</f>
        <v>19375727.422978807</v>
      </c>
      <c r="F42" s="804">
        <f>AVERAGE(F38:F41)</f>
        <v>19582146</v>
      </c>
      <c r="G42" s="806">
        <f>AVERAGE(G38:G41)</f>
        <v>19236202.140701622</v>
      </c>
      <c r="H42" s="453"/>
    </row>
    <row r="43" spans="1:14" ht="26.25" customHeight="1" x14ac:dyDescent="0.4">
      <c r="A43" s="781" t="s">
        <v>71</v>
      </c>
      <c r="B43" s="782">
        <v>1</v>
      </c>
      <c r="C43" s="807" t="s">
        <v>72</v>
      </c>
      <c r="D43" s="808">
        <v>20.86</v>
      </c>
      <c r="E43" s="739"/>
      <c r="F43" s="808">
        <v>22</v>
      </c>
      <c r="H43" s="453"/>
    </row>
    <row r="44" spans="1:14" ht="26.25" customHeight="1" x14ac:dyDescent="0.4">
      <c r="A44" s="781" t="s">
        <v>73</v>
      </c>
      <c r="B44" s="782">
        <v>1</v>
      </c>
      <c r="C44" s="809" t="s">
        <v>74</v>
      </c>
      <c r="D44" s="810">
        <f>D43*$B$34</f>
        <v>20.86</v>
      </c>
      <c r="E44" s="811"/>
      <c r="F44" s="810">
        <f>F43*$B$34</f>
        <v>22</v>
      </c>
      <c r="H44" s="453"/>
    </row>
    <row r="45" spans="1:14" ht="19.5" customHeight="1" thickBot="1" x14ac:dyDescent="0.35">
      <c r="A45" s="781" t="s">
        <v>75</v>
      </c>
      <c r="B45" s="793">
        <f>(B44/B43)*(B42/B41)*(B40/B39)*(B38/B37)*B36</f>
        <v>166.66666666666669</v>
      </c>
      <c r="C45" s="809" t="s">
        <v>76</v>
      </c>
      <c r="D45" s="812">
        <f>D44*$B$30/100</f>
        <v>20.10904</v>
      </c>
      <c r="E45" s="813"/>
      <c r="F45" s="812">
        <f>F44*$B$30/100</f>
        <v>21.208000000000002</v>
      </c>
      <c r="H45" s="453"/>
    </row>
    <row r="46" spans="1:14" ht="19.5" customHeight="1" thickBot="1" x14ac:dyDescent="0.35">
      <c r="A46" s="814" t="s">
        <v>77</v>
      </c>
      <c r="B46" s="815"/>
      <c r="C46" s="809" t="s">
        <v>78</v>
      </c>
      <c r="D46" s="816">
        <f>D45/$B$45</f>
        <v>0.12065423999999998</v>
      </c>
      <c r="E46" s="817"/>
      <c r="F46" s="818">
        <f>F45/$B$45</f>
        <v>0.127248</v>
      </c>
      <c r="H46" s="453"/>
    </row>
    <row r="47" spans="1:14" ht="27" customHeight="1" thickBot="1" x14ac:dyDescent="0.45">
      <c r="A47" s="819"/>
      <c r="B47" s="820"/>
      <c r="C47" s="821" t="s">
        <v>79</v>
      </c>
      <c r="D47" s="822">
        <v>0.125</v>
      </c>
      <c r="E47" s="823"/>
      <c r="F47" s="817"/>
      <c r="H47" s="453"/>
    </row>
    <row r="48" spans="1:14" ht="18.75" x14ac:dyDescent="0.3">
      <c r="C48" s="824" t="s">
        <v>80</v>
      </c>
      <c r="D48" s="812">
        <f>D47*$B$45</f>
        <v>20.833333333333336</v>
      </c>
      <c r="F48" s="825"/>
      <c r="H48" s="453"/>
    </row>
    <row r="49" spans="1:12" ht="19.5" customHeight="1" thickBot="1" x14ac:dyDescent="0.35">
      <c r="C49" s="826" t="s">
        <v>81</v>
      </c>
      <c r="D49" s="827">
        <f>D48/B34</f>
        <v>20.833333333333336</v>
      </c>
      <c r="F49" s="825"/>
      <c r="H49" s="453"/>
    </row>
    <row r="50" spans="1:12" ht="18.75" x14ac:dyDescent="0.3">
      <c r="C50" s="776" t="s">
        <v>82</v>
      </c>
      <c r="D50" s="828">
        <f>AVERAGE(E38:E41,G38:G41)</f>
        <v>19305964.781840216</v>
      </c>
      <c r="F50" s="829"/>
      <c r="H50" s="453"/>
    </row>
    <row r="51" spans="1:12" ht="18.75" x14ac:dyDescent="0.3">
      <c r="C51" s="781" t="s">
        <v>83</v>
      </c>
      <c r="D51" s="830">
        <f>STDEV(E38:E41,G38:G41)/D50</f>
        <v>7.144003549121529E-3</v>
      </c>
      <c r="F51" s="829"/>
      <c r="H51" s="453"/>
    </row>
    <row r="52" spans="1:12" ht="19.5" customHeight="1" thickBot="1" x14ac:dyDescent="0.35">
      <c r="C52" s="831" t="s">
        <v>19</v>
      </c>
      <c r="D52" s="832">
        <f>COUNT(E38:E41,G38:G41)</f>
        <v>6</v>
      </c>
      <c r="F52" s="829"/>
    </row>
    <row r="54" spans="1:12" ht="18.75" x14ac:dyDescent="0.3">
      <c r="A54" s="833" t="s">
        <v>1</v>
      </c>
      <c r="B54" s="834" t="s">
        <v>84</v>
      </c>
    </row>
    <row r="55" spans="1:12" ht="18.75" x14ac:dyDescent="0.3">
      <c r="A55" s="739" t="s">
        <v>85</v>
      </c>
      <c r="B55" s="835" t="str">
        <f>B21</f>
        <v>Each film coate tablet contains: Amoxicillin Trihydrate BP Eq. to Amoxicillin 250mg (as Potassium Clavulanate Diluted BP) Eq. to Clavulanic acid 125mg</v>
      </c>
    </row>
    <row r="56" spans="1:12" ht="26.25" customHeight="1" x14ac:dyDescent="0.4">
      <c r="A56" s="835" t="s">
        <v>86</v>
      </c>
      <c r="B56" s="836">
        <v>125</v>
      </c>
      <c r="C56" s="739" t="str">
        <f>B20</f>
        <v>Amoxicillin &amp; Clavulanic Acid</v>
      </c>
      <c r="H56" s="811"/>
    </row>
    <row r="57" spans="1:12" ht="18.75" x14ac:dyDescent="0.3">
      <c r="A57" s="835" t="s">
        <v>87</v>
      </c>
      <c r="B57" s="837">
        <f>[1]Uniformity!C46</f>
        <v>705.48599999999988</v>
      </c>
      <c r="H57" s="811"/>
    </row>
    <row r="58" spans="1:12" ht="19.5" customHeight="1" thickBot="1" x14ac:dyDescent="0.35">
      <c r="H58" s="811"/>
    </row>
    <row r="59" spans="1:12" s="428" customFormat="1" ht="27" customHeight="1" thickBot="1" x14ac:dyDescent="0.45">
      <c r="A59" s="776" t="s">
        <v>88</v>
      </c>
      <c r="B59" s="777">
        <v>100</v>
      </c>
      <c r="C59" s="739"/>
      <c r="D59" s="838" t="s">
        <v>89</v>
      </c>
      <c r="E59" s="839" t="s">
        <v>61</v>
      </c>
      <c r="F59" s="839" t="s">
        <v>62</v>
      </c>
      <c r="G59" s="839" t="s">
        <v>90</v>
      </c>
      <c r="H59" s="783" t="s">
        <v>91</v>
      </c>
      <c r="L59" s="763"/>
    </row>
    <row r="60" spans="1:12" s="428" customFormat="1" ht="26.25" customHeight="1" x14ac:dyDescent="0.4">
      <c r="A60" s="781" t="s">
        <v>92</v>
      </c>
      <c r="B60" s="782">
        <v>1</v>
      </c>
      <c r="C60" s="840" t="s">
        <v>93</v>
      </c>
      <c r="D60" s="841">
        <v>129.33000000000001</v>
      </c>
      <c r="E60" s="842">
        <v>1</v>
      </c>
      <c r="F60" s="843">
        <v>35338183</v>
      </c>
      <c r="G60" s="844">
        <f>IF(ISBLANK(F60),"-",(F60/$D$50*$D$47*$B$68)*($B$57/$D$60))</f>
        <v>124.81070636296073</v>
      </c>
      <c r="H60" s="845">
        <f t="shared" ref="H60:H71" si="0">IF(ISBLANK(F60),"-",G60/$B$56)</f>
        <v>0.9984856509036858</v>
      </c>
      <c r="L60" s="763"/>
    </row>
    <row r="61" spans="1:12" s="428" customFormat="1" ht="26.25" customHeight="1" x14ac:dyDescent="0.4">
      <c r="A61" s="781" t="s">
        <v>94</v>
      </c>
      <c r="B61" s="782">
        <v>1</v>
      </c>
      <c r="C61" s="846"/>
      <c r="D61" s="847"/>
      <c r="E61" s="848">
        <v>2</v>
      </c>
      <c r="F61" s="794">
        <v>34126758</v>
      </c>
      <c r="G61" s="849">
        <f>IF(ISBLANK(F61),"-",(F61/$D$50*$D$47*$B$68)*($B$57/$D$60))</f>
        <v>120.53208202181254</v>
      </c>
      <c r="H61" s="850">
        <f t="shared" si="0"/>
        <v>0.96425665617450029</v>
      </c>
      <c r="L61" s="763"/>
    </row>
    <row r="62" spans="1:12" s="428" customFormat="1" ht="26.25" customHeight="1" x14ac:dyDescent="0.4">
      <c r="A62" s="781" t="s">
        <v>95</v>
      </c>
      <c r="B62" s="782">
        <v>1</v>
      </c>
      <c r="C62" s="846"/>
      <c r="D62" s="847"/>
      <c r="E62" s="848">
        <v>3</v>
      </c>
      <c r="F62" s="851">
        <v>34963688</v>
      </c>
      <c r="G62" s="849">
        <f>IF(ISBLANK(F62),"-",(F62/$D$50*$D$47*$B$68)*($B$57/$D$60))</f>
        <v>123.48802982694879</v>
      </c>
      <c r="H62" s="850">
        <f t="shared" si="0"/>
        <v>0.98790423861559029</v>
      </c>
      <c r="L62" s="763"/>
    </row>
    <row r="63" spans="1:12" ht="27" customHeight="1" thickBot="1" x14ac:dyDescent="0.45">
      <c r="A63" s="781" t="s">
        <v>96</v>
      </c>
      <c r="B63" s="782">
        <v>1</v>
      </c>
      <c r="C63" s="852"/>
      <c r="D63" s="853"/>
      <c r="E63" s="854">
        <v>4</v>
      </c>
      <c r="F63" s="855"/>
      <c r="G63" s="849" t="str">
        <f>IF(ISBLANK(F63),"-",(F63/$D$50*$D$47*$B$68)*($B$57/$D$60))</f>
        <v>-</v>
      </c>
      <c r="H63" s="850" t="str">
        <f t="shared" si="0"/>
        <v>-</v>
      </c>
    </row>
    <row r="64" spans="1:12" ht="26.25" customHeight="1" x14ac:dyDescent="0.4">
      <c r="A64" s="781" t="s">
        <v>97</v>
      </c>
      <c r="B64" s="782">
        <v>1</v>
      </c>
      <c r="C64" s="840" t="s">
        <v>98</v>
      </c>
      <c r="D64" s="841">
        <v>140.02000000000001</v>
      </c>
      <c r="E64" s="842">
        <v>1</v>
      </c>
      <c r="F64" s="843">
        <v>37147220</v>
      </c>
      <c r="G64" s="856">
        <f>IF(ISBLANK(F64),"-",(F64/$D$50*$D$47*$B$68)*($B$57/$D$64))</f>
        <v>121.18340407156369</v>
      </c>
      <c r="H64" s="857">
        <f t="shared" si="0"/>
        <v>0.96946723257250944</v>
      </c>
    </row>
    <row r="65" spans="1:8" ht="26.25" customHeight="1" x14ac:dyDescent="0.4">
      <c r="A65" s="781" t="s">
        <v>99</v>
      </c>
      <c r="B65" s="782">
        <v>1</v>
      </c>
      <c r="C65" s="846"/>
      <c r="D65" s="847"/>
      <c r="E65" s="848">
        <v>2</v>
      </c>
      <c r="F65" s="794">
        <v>37144240</v>
      </c>
      <c r="G65" s="858">
        <f>IF(ISBLANK(F65),"-",(F65/$D$50*$D$47*$B$68)*($B$57/$D$64))</f>
        <v>121.17368257573889</v>
      </c>
      <c r="H65" s="859">
        <f t="shared" si="0"/>
        <v>0.96938946060591114</v>
      </c>
    </row>
    <row r="66" spans="1:8" ht="26.25" customHeight="1" x14ac:dyDescent="0.4">
      <c r="A66" s="781" t="s">
        <v>100</v>
      </c>
      <c r="B66" s="782">
        <v>1</v>
      </c>
      <c r="C66" s="846"/>
      <c r="D66" s="847"/>
      <c r="E66" s="848">
        <v>3</v>
      </c>
      <c r="F66" s="794">
        <v>36314310</v>
      </c>
      <c r="G66" s="858">
        <f>IF(ISBLANK(F66),"-",(F66/$D$50*$D$47*$B$68)*($B$57/$D$64))</f>
        <v>118.46624598852959</v>
      </c>
      <c r="H66" s="859">
        <f t="shared" si="0"/>
        <v>0.94772996790823671</v>
      </c>
    </row>
    <row r="67" spans="1:8" ht="27" customHeight="1" thickBot="1" x14ac:dyDescent="0.45">
      <c r="A67" s="781" t="s">
        <v>101</v>
      </c>
      <c r="B67" s="782">
        <v>1</v>
      </c>
      <c r="C67" s="852"/>
      <c r="D67" s="853"/>
      <c r="E67" s="854">
        <v>4</v>
      </c>
      <c r="F67" s="855"/>
      <c r="G67" s="860" t="str">
        <f>IF(ISBLANK(F67),"-",(F67/$D$50*$D$47*$B$68)*($B$57/$D$64))</f>
        <v>-</v>
      </c>
      <c r="H67" s="861" t="str">
        <f t="shared" si="0"/>
        <v>-</v>
      </c>
    </row>
    <row r="68" spans="1:8" ht="26.25" customHeight="1" x14ac:dyDescent="0.4">
      <c r="A68" s="781" t="s">
        <v>102</v>
      </c>
      <c r="B68" s="862">
        <f>(B67/B66)*(B65/B64)*(B63/B62)*(B61/B60)*B59</f>
        <v>100</v>
      </c>
      <c r="C68" s="840" t="s">
        <v>103</v>
      </c>
      <c r="D68" s="841">
        <v>145.59</v>
      </c>
      <c r="E68" s="842">
        <v>1</v>
      </c>
      <c r="F68" s="843">
        <v>38248886</v>
      </c>
      <c r="G68" s="856">
        <f>IF(ISBLANK(F68),"-",(F68/$D$50*$D$47*$B$68)*($B$57/$D$68))</f>
        <v>120.00356500136262</v>
      </c>
      <c r="H68" s="850">
        <f t="shared" si="0"/>
        <v>0.96002852001090089</v>
      </c>
    </row>
    <row r="69" spans="1:8" ht="27" customHeight="1" thickBot="1" x14ac:dyDescent="0.45">
      <c r="A69" s="831" t="s">
        <v>104</v>
      </c>
      <c r="B69" s="863">
        <f>(D47*B68)/B56*B57</f>
        <v>70.548599999999993</v>
      </c>
      <c r="C69" s="846"/>
      <c r="D69" s="847"/>
      <c r="E69" s="848">
        <v>2</v>
      </c>
      <c r="F69" s="794">
        <v>37970400</v>
      </c>
      <c r="G69" s="858">
        <f>IF(ISBLANK(F69),"-",(F69/$D$50*$D$47*$B$68)*($B$57/$D$68))</f>
        <v>119.12983203034304</v>
      </c>
      <c r="H69" s="850">
        <f t="shared" si="0"/>
        <v>0.95303865624274431</v>
      </c>
    </row>
    <row r="70" spans="1:8" ht="26.25" customHeight="1" x14ac:dyDescent="0.4">
      <c r="A70" s="864" t="s">
        <v>77</v>
      </c>
      <c r="B70" s="865"/>
      <c r="C70" s="846"/>
      <c r="D70" s="847"/>
      <c r="E70" s="848">
        <v>3</v>
      </c>
      <c r="F70" s="794">
        <v>38409737</v>
      </c>
      <c r="G70" s="858">
        <f>IF(ISBLANK(F70),"-",(F70/$D$50*$D$47*$B$68)*($B$57/$D$68))</f>
        <v>120.50822527915567</v>
      </c>
      <c r="H70" s="850">
        <f t="shared" si="0"/>
        <v>0.96406580223324534</v>
      </c>
    </row>
    <row r="71" spans="1:8" ht="27" customHeight="1" thickBot="1" x14ac:dyDescent="0.45">
      <c r="A71" s="866"/>
      <c r="B71" s="867"/>
      <c r="C71" s="868"/>
      <c r="D71" s="853"/>
      <c r="E71" s="854">
        <v>4</v>
      </c>
      <c r="F71" s="855"/>
      <c r="G71" s="860" t="str">
        <f>IF(ISBLANK(F71),"-",(F71/$D$50*$D$47*$B$68)*($B$57/$D$68))</f>
        <v>-</v>
      </c>
      <c r="H71" s="869" t="str">
        <f t="shared" si="0"/>
        <v>-</v>
      </c>
    </row>
    <row r="72" spans="1:8" ht="26.25" customHeight="1" x14ac:dyDescent="0.4">
      <c r="A72" s="811"/>
      <c r="B72" s="811"/>
      <c r="C72" s="811"/>
      <c r="D72" s="811"/>
      <c r="E72" s="811"/>
      <c r="F72" s="870" t="s">
        <v>70</v>
      </c>
      <c r="G72" s="871">
        <f>AVERAGE(G60:G71)</f>
        <v>121.03286368426841</v>
      </c>
      <c r="H72" s="872">
        <f>AVERAGE(H60:H71)</f>
        <v>0.96826290947414728</v>
      </c>
    </row>
    <row r="73" spans="1:8" ht="26.25" customHeight="1" x14ac:dyDescent="0.4">
      <c r="C73" s="811"/>
      <c r="D73" s="811"/>
      <c r="E73" s="811"/>
      <c r="F73" s="873" t="s">
        <v>83</v>
      </c>
      <c r="G73" s="874">
        <f>STDEV(G60:G71)/G72</f>
        <v>1.6559764130931742E-2</v>
      </c>
      <c r="H73" s="874">
        <f>STDEV(H60:H71)/H72</f>
        <v>1.6559764130931735E-2</v>
      </c>
    </row>
    <row r="74" spans="1:8" ht="27" customHeight="1" thickBot="1" x14ac:dyDescent="0.45">
      <c r="A74" s="811"/>
      <c r="B74" s="811"/>
      <c r="C74" s="811"/>
      <c r="D74" s="811"/>
      <c r="E74" s="813"/>
      <c r="F74" s="875" t="s">
        <v>19</v>
      </c>
      <c r="G74" s="876">
        <f>COUNT(G60:G71)</f>
        <v>9</v>
      </c>
      <c r="H74" s="876">
        <f>COUNT(H60:H71)</f>
        <v>9</v>
      </c>
    </row>
    <row r="76" spans="1:8" ht="26.25" customHeight="1" x14ac:dyDescent="0.4">
      <c r="A76" s="755" t="s">
        <v>105</v>
      </c>
      <c r="B76" s="756" t="s">
        <v>106</v>
      </c>
      <c r="C76" s="877" t="str">
        <f>B20</f>
        <v>Amoxicillin &amp; Clavulanic Acid</v>
      </c>
      <c r="D76" s="877"/>
      <c r="E76" s="739" t="s">
        <v>107</v>
      </c>
      <c r="F76" s="739"/>
      <c r="G76" s="878">
        <f>H72</f>
        <v>0.96826290947414728</v>
      </c>
      <c r="H76" s="764"/>
    </row>
    <row r="77" spans="1:8" ht="18.75" x14ac:dyDescent="0.3">
      <c r="A77" s="754" t="s">
        <v>108</v>
      </c>
      <c r="B77" s="754" t="s">
        <v>109</v>
      </c>
    </row>
    <row r="78" spans="1:8" ht="18.75" x14ac:dyDescent="0.3">
      <c r="A78" s="754"/>
      <c r="B78" s="754"/>
    </row>
    <row r="79" spans="1:8" ht="26.25" customHeight="1" x14ac:dyDescent="0.4">
      <c r="A79" s="755" t="s">
        <v>3</v>
      </c>
      <c r="B79" s="879" t="str">
        <f>B26</f>
        <v>CLAVULANIC</v>
      </c>
      <c r="C79" s="879"/>
    </row>
    <row r="80" spans="1:8" ht="26.25" customHeight="1" x14ac:dyDescent="0.4">
      <c r="A80" s="756" t="s">
        <v>47</v>
      </c>
      <c r="B80" s="879">
        <f>B27</f>
        <v>0</v>
      </c>
      <c r="C80" s="879"/>
    </row>
    <row r="81" spans="1:12" ht="27" customHeight="1" thickBot="1" x14ac:dyDescent="0.45">
      <c r="A81" s="756" t="s">
        <v>5</v>
      </c>
      <c r="B81" s="758">
        <v>96.4</v>
      </c>
    </row>
    <row r="82" spans="1:12" s="428" customFormat="1" ht="27" customHeight="1" thickBot="1" x14ac:dyDescent="0.45">
      <c r="A82" s="756" t="s">
        <v>48</v>
      </c>
      <c r="B82" s="759">
        <v>0</v>
      </c>
      <c r="C82" s="760" t="s">
        <v>49</v>
      </c>
      <c r="D82" s="761"/>
      <c r="E82" s="761"/>
      <c r="F82" s="761"/>
      <c r="G82" s="762"/>
      <c r="I82" s="763"/>
      <c r="J82" s="763"/>
      <c r="K82" s="763"/>
      <c r="L82" s="763"/>
    </row>
    <row r="83" spans="1:12" s="428" customFormat="1" ht="19.5" customHeight="1" thickBot="1" x14ac:dyDescent="0.35">
      <c r="A83" s="756" t="s">
        <v>50</v>
      </c>
      <c r="B83" s="764">
        <f>B81-B82</f>
        <v>96.4</v>
      </c>
      <c r="C83" s="765"/>
      <c r="D83" s="765"/>
      <c r="E83" s="765"/>
      <c r="F83" s="765"/>
      <c r="G83" s="766"/>
      <c r="I83" s="763"/>
      <c r="J83" s="763"/>
      <c r="K83" s="763"/>
      <c r="L83" s="763"/>
    </row>
    <row r="84" spans="1:12" s="428" customFormat="1" ht="27" customHeight="1" thickBot="1" x14ac:dyDescent="0.45">
      <c r="A84" s="756" t="s">
        <v>51</v>
      </c>
      <c r="B84" s="767">
        <v>1</v>
      </c>
      <c r="C84" s="768" t="s">
        <v>110</v>
      </c>
      <c r="D84" s="769"/>
      <c r="E84" s="769"/>
      <c r="F84" s="769"/>
      <c r="G84" s="769"/>
      <c r="H84" s="770"/>
      <c r="I84" s="763"/>
      <c r="J84" s="763"/>
      <c r="K84" s="763"/>
      <c r="L84" s="763"/>
    </row>
    <row r="85" spans="1:12" s="428" customFormat="1" ht="27" customHeight="1" thickBot="1" x14ac:dyDescent="0.45">
      <c r="A85" s="756" t="s">
        <v>53</v>
      </c>
      <c r="B85" s="767">
        <v>1</v>
      </c>
      <c r="C85" s="768" t="s">
        <v>111</v>
      </c>
      <c r="D85" s="769"/>
      <c r="E85" s="769"/>
      <c r="F85" s="769"/>
      <c r="G85" s="769"/>
      <c r="H85" s="770"/>
      <c r="I85" s="763"/>
      <c r="J85" s="763"/>
      <c r="K85" s="763"/>
      <c r="L85" s="763"/>
    </row>
    <row r="86" spans="1:12" s="428" customFormat="1" ht="18.75" x14ac:dyDescent="0.3">
      <c r="A86" s="756"/>
      <c r="B86" s="773"/>
      <c r="C86" s="774"/>
      <c r="D86" s="774"/>
      <c r="E86" s="774"/>
      <c r="F86" s="774"/>
      <c r="G86" s="774"/>
      <c r="H86" s="774"/>
      <c r="I86" s="763"/>
      <c r="J86" s="763"/>
      <c r="K86" s="763"/>
      <c r="L86" s="763"/>
    </row>
    <row r="87" spans="1:12" s="428" customFormat="1" ht="18.75" x14ac:dyDescent="0.3">
      <c r="A87" s="756" t="s">
        <v>55</v>
      </c>
      <c r="B87" s="775">
        <f>B84/B85</f>
        <v>1</v>
      </c>
      <c r="C87" s="739" t="s">
        <v>56</v>
      </c>
      <c r="D87" s="739"/>
      <c r="E87" s="739"/>
      <c r="F87" s="739"/>
      <c r="G87" s="739"/>
      <c r="I87" s="763"/>
      <c r="J87" s="763"/>
      <c r="K87" s="763"/>
      <c r="L87" s="763"/>
    </row>
    <row r="88" spans="1:12" ht="19.5" customHeight="1" thickBot="1" x14ac:dyDescent="0.35">
      <c r="A88" s="754"/>
      <c r="B88" s="754"/>
    </row>
    <row r="89" spans="1:12" ht="27" customHeight="1" thickBot="1" x14ac:dyDescent="0.45">
      <c r="A89" s="776" t="s">
        <v>57</v>
      </c>
      <c r="B89" s="777">
        <v>20</v>
      </c>
      <c r="D89" s="880" t="s">
        <v>58</v>
      </c>
      <c r="E89" s="881"/>
      <c r="F89" s="778" t="s">
        <v>59</v>
      </c>
      <c r="G89" s="780"/>
    </row>
    <row r="90" spans="1:12" ht="27" customHeight="1" thickBot="1" x14ac:dyDescent="0.45">
      <c r="A90" s="781" t="s">
        <v>60</v>
      </c>
      <c r="B90" s="782">
        <v>3</v>
      </c>
      <c r="C90" s="882" t="s">
        <v>61</v>
      </c>
      <c r="D90" s="784" t="s">
        <v>62</v>
      </c>
      <c r="E90" s="785" t="s">
        <v>63</v>
      </c>
      <c r="F90" s="784" t="s">
        <v>62</v>
      </c>
      <c r="G90" s="883" t="s">
        <v>63</v>
      </c>
      <c r="I90" s="787" t="s">
        <v>64</v>
      </c>
    </row>
    <row r="91" spans="1:12" ht="26.25" customHeight="1" x14ac:dyDescent="0.4">
      <c r="A91" s="781" t="s">
        <v>65</v>
      </c>
      <c r="B91" s="782">
        <v>25</v>
      </c>
      <c r="C91" s="884">
        <v>1</v>
      </c>
      <c r="D91" s="789">
        <v>49622398</v>
      </c>
      <c r="E91" s="790">
        <f>IF(ISBLANK(D91),"-",$D$101/$D$98*D91)</f>
        <v>51582808.839897372</v>
      </c>
      <c r="F91" s="789">
        <v>44495700</v>
      </c>
      <c r="G91" s="791">
        <f>IF(ISBLANK(F91),"-",$D$101/$F$98*F91)</f>
        <v>50854713.30366075</v>
      </c>
      <c r="I91" s="792"/>
    </row>
    <row r="92" spans="1:12" ht="26.25" customHeight="1" x14ac:dyDescent="0.4">
      <c r="A92" s="781" t="s">
        <v>66</v>
      </c>
      <c r="B92" s="782">
        <v>1</v>
      </c>
      <c r="C92" s="811">
        <v>2</v>
      </c>
      <c r="D92" s="794">
        <v>48777801</v>
      </c>
      <c r="E92" s="795">
        <f>IF(ISBLANK(D92),"-",$D$101/$D$98*D92)</f>
        <v>50704844.707697414</v>
      </c>
      <c r="F92" s="794">
        <v>43843421</v>
      </c>
      <c r="G92" s="796">
        <f>IF(ISBLANK(F92),"-",$D$101/$F$98*F92)</f>
        <v>50109215.164761968</v>
      </c>
      <c r="I92" s="797">
        <f>ABS((F96/D96*D95)-F95)/D95</f>
        <v>1.2725386455147439E-2</v>
      </c>
    </row>
    <row r="93" spans="1:12" ht="26.25" customHeight="1" x14ac:dyDescent="0.4">
      <c r="A93" s="781" t="s">
        <v>67</v>
      </c>
      <c r="B93" s="782">
        <v>1</v>
      </c>
      <c r="C93" s="811">
        <v>3</v>
      </c>
      <c r="D93" s="794">
        <v>48323247</v>
      </c>
      <c r="E93" s="795">
        <f>IF(ISBLANK(D93),"-",$D$101/$D$98*D93)</f>
        <v>50232332.837363966</v>
      </c>
      <c r="F93" s="794">
        <v>43242234</v>
      </c>
      <c r="G93" s="796">
        <f>IF(ISBLANK(F93),"-",$D$101/$F$98*F93)</f>
        <v>49422110.736089356</v>
      </c>
      <c r="I93" s="797"/>
    </row>
    <row r="94" spans="1:12" ht="27" customHeight="1" thickBot="1" x14ac:dyDescent="0.45">
      <c r="A94" s="781" t="s">
        <v>68</v>
      </c>
      <c r="B94" s="782">
        <v>1</v>
      </c>
      <c r="C94" s="885">
        <v>4</v>
      </c>
      <c r="D94" s="799"/>
      <c r="E94" s="800" t="str">
        <f>IF(ISBLANK(D94),"-",$D$101/$D$98*D94)</f>
        <v>-</v>
      </c>
      <c r="F94" s="886"/>
      <c r="G94" s="801" t="str">
        <f>IF(ISBLANK(F94),"-",$D$101/$F$98*F94)</f>
        <v>-</v>
      </c>
      <c r="I94" s="802"/>
    </row>
    <row r="95" spans="1:12" ht="27" customHeight="1" thickBot="1" x14ac:dyDescent="0.45">
      <c r="A95" s="781" t="s">
        <v>69</v>
      </c>
      <c r="B95" s="782">
        <v>1</v>
      </c>
      <c r="C95" s="756" t="s">
        <v>70</v>
      </c>
      <c r="D95" s="887">
        <f>AVERAGE(D91:D94)</f>
        <v>48907815.333333336</v>
      </c>
      <c r="E95" s="805">
        <f>AVERAGE(E91:E94)</f>
        <v>50839995.461652912</v>
      </c>
      <c r="F95" s="888">
        <f>AVERAGE(F91:F94)</f>
        <v>43860451.666666664</v>
      </c>
      <c r="G95" s="889">
        <f>AVERAGE(G91:G94)</f>
        <v>50128679.734837353</v>
      </c>
    </row>
    <row r="96" spans="1:12" ht="26.25" customHeight="1" x14ac:dyDescent="0.4">
      <c r="A96" s="781" t="s">
        <v>71</v>
      </c>
      <c r="B96" s="758">
        <v>1</v>
      </c>
      <c r="C96" s="890" t="s">
        <v>112</v>
      </c>
      <c r="D96" s="891">
        <v>23.1</v>
      </c>
      <c r="E96" s="739"/>
      <c r="F96" s="808">
        <v>21.01</v>
      </c>
    </row>
    <row r="97" spans="1:10" ht="26.25" customHeight="1" x14ac:dyDescent="0.4">
      <c r="A97" s="781" t="s">
        <v>73</v>
      </c>
      <c r="B97" s="758">
        <v>1</v>
      </c>
      <c r="C97" s="892" t="s">
        <v>113</v>
      </c>
      <c r="D97" s="893">
        <f>D96*$B$87</f>
        <v>23.1</v>
      </c>
      <c r="E97" s="811"/>
      <c r="F97" s="810">
        <f>F96*$B$87</f>
        <v>21.01</v>
      </c>
    </row>
    <row r="98" spans="1:10" ht="19.5" customHeight="1" thickBot="1" x14ac:dyDescent="0.35">
      <c r="A98" s="781" t="s">
        <v>75</v>
      </c>
      <c r="B98" s="811">
        <f>(B97/B96)*(B95/B94)*(B93/B92)*(B91/B90)*B89</f>
        <v>166.66666666666669</v>
      </c>
      <c r="C98" s="892" t="s">
        <v>114</v>
      </c>
      <c r="D98" s="894">
        <f>D97*$B$83/100</f>
        <v>22.2684</v>
      </c>
      <c r="E98" s="813"/>
      <c r="F98" s="812">
        <f>F97*$B$83/100</f>
        <v>20.253640000000004</v>
      </c>
    </row>
    <row r="99" spans="1:10" ht="19.5" customHeight="1" thickBot="1" x14ac:dyDescent="0.35">
      <c r="A99" s="814" t="s">
        <v>77</v>
      </c>
      <c r="B99" s="895"/>
      <c r="C99" s="892" t="s">
        <v>115</v>
      </c>
      <c r="D99" s="896">
        <f>D98/$B$98</f>
        <v>0.13361039999999999</v>
      </c>
      <c r="E99" s="813"/>
      <c r="F99" s="818">
        <f>F98/$B$98</f>
        <v>0.12152184000000001</v>
      </c>
      <c r="H99" s="453"/>
    </row>
    <row r="100" spans="1:10" ht="19.5" customHeight="1" thickBot="1" x14ac:dyDescent="0.35">
      <c r="A100" s="819"/>
      <c r="B100" s="897"/>
      <c r="C100" s="892" t="s">
        <v>79</v>
      </c>
      <c r="D100" s="898">
        <f>$B$56/$B$116</f>
        <v>0.1388888888888889</v>
      </c>
      <c r="F100" s="825"/>
      <c r="G100" s="899"/>
      <c r="H100" s="453"/>
    </row>
    <row r="101" spans="1:10" ht="18.75" x14ac:dyDescent="0.3">
      <c r="C101" s="892" t="s">
        <v>80</v>
      </c>
      <c r="D101" s="893">
        <f>D100*$B$98</f>
        <v>23.148148148148152</v>
      </c>
      <c r="F101" s="825"/>
      <c r="H101" s="453"/>
    </row>
    <row r="102" spans="1:10" ht="19.5" customHeight="1" thickBot="1" x14ac:dyDescent="0.35">
      <c r="C102" s="900" t="s">
        <v>81</v>
      </c>
      <c r="D102" s="901">
        <f>D101/B34</f>
        <v>23.148148148148152</v>
      </c>
      <c r="F102" s="829"/>
      <c r="H102" s="453"/>
      <c r="J102" s="902"/>
    </row>
    <row r="103" spans="1:10" ht="18.75" x14ac:dyDescent="0.3">
      <c r="C103" s="903" t="s">
        <v>116</v>
      </c>
      <c r="D103" s="904">
        <f>AVERAGE(E91:E94,G91:G94)</f>
        <v>50484337.598245136</v>
      </c>
      <c r="F103" s="829"/>
      <c r="G103" s="899"/>
      <c r="H103" s="453"/>
      <c r="J103" s="905"/>
    </row>
    <row r="104" spans="1:10" ht="18.75" x14ac:dyDescent="0.3">
      <c r="C104" s="873" t="s">
        <v>83</v>
      </c>
      <c r="D104" s="906">
        <f>STDEV(E91:E94,G91:G94)/D103</f>
        <v>1.4623144553870565E-2</v>
      </c>
      <c r="F104" s="829"/>
      <c r="H104" s="453"/>
      <c r="J104" s="905"/>
    </row>
    <row r="105" spans="1:10" ht="19.5" customHeight="1" thickBot="1" x14ac:dyDescent="0.35">
      <c r="C105" s="875" t="s">
        <v>19</v>
      </c>
      <c r="D105" s="907">
        <f>COUNT(E91:E94,G91:G94)</f>
        <v>6</v>
      </c>
      <c r="F105" s="829"/>
      <c r="H105" s="453"/>
      <c r="J105" s="905"/>
    </row>
    <row r="106" spans="1:10" ht="19.5" customHeight="1" thickBot="1" x14ac:dyDescent="0.35">
      <c r="A106" s="833"/>
      <c r="B106" s="833"/>
      <c r="C106" s="833"/>
      <c r="D106" s="833"/>
      <c r="E106" s="833"/>
    </row>
    <row r="107" spans="1:10" ht="26.25" customHeight="1" x14ac:dyDescent="0.4">
      <c r="A107" s="776" t="s">
        <v>117</v>
      </c>
      <c r="B107" s="777">
        <v>900</v>
      </c>
      <c r="C107" s="880" t="s">
        <v>118</v>
      </c>
      <c r="D107" s="908" t="s">
        <v>62</v>
      </c>
      <c r="E107" s="909" t="s">
        <v>119</v>
      </c>
      <c r="F107" s="910" t="s">
        <v>120</v>
      </c>
    </row>
    <row r="108" spans="1:10" ht="26.25" customHeight="1" x14ac:dyDescent="0.4">
      <c r="A108" s="781" t="s">
        <v>121</v>
      </c>
      <c r="B108" s="782">
        <v>1</v>
      </c>
      <c r="C108" s="911">
        <v>1</v>
      </c>
      <c r="D108" s="912">
        <v>44960835</v>
      </c>
      <c r="E108" s="913">
        <f t="shared" ref="E108:E113" si="1">IF(ISBLANK(D108),"-",D108/$D$103*$D$100*$B$116)</f>
        <v>111.32372221509267</v>
      </c>
      <c r="F108" s="914">
        <f t="shared" ref="F108:F113" si="2">IF(ISBLANK(D108), "-", E108/$B$56)</f>
        <v>0.89058977772074133</v>
      </c>
    </row>
    <row r="109" spans="1:10" ht="26.25" customHeight="1" x14ac:dyDescent="0.4">
      <c r="A109" s="781" t="s">
        <v>94</v>
      </c>
      <c r="B109" s="782">
        <v>1</v>
      </c>
      <c r="C109" s="911">
        <v>2</v>
      </c>
      <c r="D109" s="912">
        <v>43375029</v>
      </c>
      <c r="E109" s="915">
        <f t="shared" si="1"/>
        <v>107.39724205450341</v>
      </c>
      <c r="F109" s="916">
        <f t="shared" si="2"/>
        <v>0.85917793643602725</v>
      </c>
    </row>
    <row r="110" spans="1:10" ht="26.25" customHeight="1" x14ac:dyDescent="0.4">
      <c r="A110" s="781" t="s">
        <v>95</v>
      </c>
      <c r="B110" s="782">
        <v>1</v>
      </c>
      <c r="C110" s="911">
        <v>3</v>
      </c>
      <c r="D110" s="912">
        <v>44505748</v>
      </c>
      <c r="E110" s="915">
        <f t="shared" si="1"/>
        <v>110.19691977088317</v>
      </c>
      <c r="F110" s="916">
        <f t="shared" si="2"/>
        <v>0.88157535816706534</v>
      </c>
    </row>
    <row r="111" spans="1:10" ht="26.25" customHeight="1" x14ac:dyDescent="0.4">
      <c r="A111" s="781" t="s">
        <v>96</v>
      </c>
      <c r="B111" s="782">
        <v>1</v>
      </c>
      <c r="C111" s="911">
        <v>4</v>
      </c>
      <c r="D111" s="912">
        <v>46812221</v>
      </c>
      <c r="E111" s="915">
        <f t="shared" si="1"/>
        <v>115.90778255954383</v>
      </c>
      <c r="F111" s="916">
        <f t="shared" si="2"/>
        <v>0.92726226047635063</v>
      </c>
    </row>
    <row r="112" spans="1:10" ht="26.25" customHeight="1" x14ac:dyDescent="0.4">
      <c r="A112" s="781" t="s">
        <v>97</v>
      </c>
      <c r="B112" s="782">
        <v>1</v>
      </c>
      <c r="C112" s="911">
        <v>5</v>
      </c>
      <c r="D112" s="912">
        <v>45000911</v>
      </c>
      <c r="E112" s="915">
        <f t="shared" si="1"/>
        <v>111.4229510103651</v>
      </c>
      <c r="F112" s="916">
        <f t="shared" si="2"/>
        <v>0.89138360808292072</v>
      </c>
    </row>
    <row r="113" spans="1:10" ht="26.25" customHeight="1" x14ac:dyDescent="0.4">
      <c r="A113" s="781" t="s">
        <v>99</v>
      </c>
      <c r="B113" s="782">
        <v>1</v>
      </c>
      <c r="C113" s="917">
        <v>6</v>
      </c>
      <c r="D113" s="918">
        <v>44552587</v>
      </c>
      <c r="E113" s="919">
        <f t="shared" si="1"/>
        <v>110.31289385866052</v>
      </c>
      <c r="F113" s="920">
        <f t="shared" si="2"/>
        <v>0.8825031508692841</v>
      </c>
    </row>
    <row r="114" spans="1:10" ht="26.25" customHeight="1" x14ac:dyDescent="0.4">
      <c r="A114" s="781" t="s">
        <v>100</v>
      </c>
      <c r="B114" s="782">
        <v>1</v>
      </c>
      <c r="C114" s="911"/>
      <c r="D114" s="811"/>
      <c r="E114" s="739"/>
      <c r="F114" s="921"/>
    </row>
    <row r="115" spans="1:10" ht="26.25" customHeight="1" x14ac:dyDescent="0.4">
      <c r="A115" s="781" t="s">
        <v>101</v>
      </c>
      <c r="B115" s="782">
        <v>1</v>
      </c>
      <c r="C115" s="911"/>
      <c r="D115" s="922" t="s">
        <v>70</v>
      </c>
      <c r="E115" s="923">
        <f>AVERAGE(E108:E113)</f>
        <v>111.09358524484146</v>
      </c>
      <c r="F115" s="924">
        <f>AVERAGE(F108:F113)</f>
        <v>0.88874868195873169</v>
      </c>
    </row>
    <row r="116" spans="1:10" ht="27" customHeight="1" thickBot="1" x14ac:dyDescent="0.45">
      <c r="A116" s="781" t="s">
        <v>102</v>
      </c>
      <c r="B116" s="793">
        <f>(B115/B114)*(B113/B112)*(B111/B110)*(B109/B108)*B107</f>
        <v>900</v>
      </c>
      <c r="C116" s="925"/>
      <c r="D116" s="756" t="s">
        <v>83</v>
      </c>
      <c r="E116" s="926">
        <f>STDEV(E108:E113)/E115</f>
        <v>2.4950137211815472E-2</v>
      </c>
      <c r="F116" s="926">
        <f>STDEV(F108:F113)/F115</f>
        <v>2.4950137211815465E-2</v>
      </c>
      <c r="I116" s="739"/>
    </row>
    <row r="117" spans="1:10" ht="27" customHeight="1" thickBot="1" x14ac:dyDescent="0.45">
      <c r="A117" s="814" t="s">
        <v>77</v>
      </c>
      <c r="B117" s="815"/>
      <c r="C117" s="927"/>
      <c r="D117" s="928" t="s">
        <v>19</v>
      </c>
      <c r="E117" s="929">
        <f>COUNT(E108:E113)</f>
        <v>6</v>
      </c>
      <c r="F117" s="929">
        <f>COUNT(F108:F113)</f>
        <v>6</v>
      </c>
      <c r="I117" s="739"/>
      <c r="J117" s="905"/>
    </row>
    <row r="118" spans="1:10" ht="19.5" customHeight="1" thickBot="1" x14ac:dyDescent="0.35">
      <c r="A118" s="819"/>
      <c r="B118" s="820"/>
      <c r="C118" s="739"/>
      <c r="D118" s="739"/>
      <c r="E118" s="739"/>
      <c r="F118" s="811"/>
      <c r="G118" s="739"/>
      <c r="H118" s="739"/>
      <c r="I118" s="739"/>
    </row>
    <row r="119" spans="1:10" ht="18.75" x14ac:dyDescent="0.3">
      <c r="A119" s="930"/>
      <c r="B119" s="774"/>
      <c r="C119" s="739"/>
      <c r="D119" s="739"/>
      <c r="E119" s="739"/>
      <c r="F119" s="811"/>
      <c r="G119" s="739"/>
      <c r="H119" s="739"/>
      <c r="I119" s="739"/>
    </row>
    <row r="120" spans="1:10" ht="26.25" customHeight="1" x14ac:dyDescent="0.4">
      <c r="A120" s="755" t="s">
        <v>105</v>
      </c>
      <c r="B120" s="756" t="s">
        <v>122</v>
      </c>
      <c r="C120" s="877" t="str">
        <f>B20</f>
        <v>Amoxicillin &amp; Clavulanic Acid</v>
      </c>
      <c r="D120" s="877"/>
      <c r="E120" s="739" t="s">
        <v>123</v>
      </c>
      <c r="F120" s="739"/>
      <c r="G120" s="878">
        <f>F115</f>
        <v>0.88874868195873169</v>
      </c>
      <c r="H120" s="739"/>
      <c r="I120" s="739"/>
    </row>
    <row r="121" spans="1:10" ht="19.5" customHeight="1" thickBot="1" x14ac:dyDescent="0.35">
      <c r="A121" s="931"/>
      <c r="B121" s="931"/>
      <c r="C121" s="932"/>
      <c r="D121" s="932"/>
      <c r="E121" s="932"/>
      <c r="F121" s="932"/>
      <c r="G121" s="932"/>
      <c r="H121" s="932"/>
    </row>
    <row r="122" spans="1:10" ht="18.75" x14ac:dyDescent="0.3">
      <c r="B122" s="933" t="s">
        <v>25</v>
      </c>
      <c r="C122" s="933"/>
      <c r="E122" s="882" t="s">
        <v>26</v>
      </c>
      <c r="F122" s="934"/>
      <c r="G122" s="933" t="s">
        <v>27</v>
      </c>
      <c r="H122" s="933"/>
    </row>
    <row r="123" spans="1:10" ht="69.95" customHeight="1" x14ac:dyDescent="0.3">
      <c r="A123" s="755" t="s">
        <v>28</v>
      </c>
      <c r="B123" s="935"/>
      <c r="C123" s="935"/>
      <c r="E123" s="935"/>
      <c r="F123" s="739"/>
      <c r="G123" s="935"/>
      <c r="H123" s="935"/>
    </row>
    <row r="124" spans="1:10" ht="69.95" customHeight="1" x14ac:dyDescent="0.3">
      <c r="A124" s="755" t="s">
        <v>29</v>
      </c>
      <c r="B124" s="936"/>
      <c r="C124" s="936"/>
      <c r="E124" s="936"/>
      <c r="F124" s="739"/>
      <c r="G124" s="937"/>
      <c r="H124" s="937"/>
    </row>
    <row r="125" spans="1:10" ht="18.75" x14ac:dyDescent="0.3">
      <c r="A125" s="811"/>
      <c r="B125" s="811"/>
      <c r="C125" s="811"/>
      <c r="D125" s="811"/>
      <c r="E125" s="811"/>
      <c r="F125" s="813"/>
      <c r="G125" s="811"/>
      <c r="H125" s="811"/>
      <c r="I125" s="739"/>
    </row>
    <row r="126" spans="1:10" ht="18.75" x14ac:dyDescent="0.3">
      <c r="A126" s="811"/>
      <c r="B126" s="811"/>
      <c r="C126" s="811"/>
      <c r="D126" s="811"/>
      <c r="E126" s="811"/>
      <c r="F126" s="813"/>
      <c r="G126" s="811"/>
      <c r="H126" s="811"/>
      <c r="I126" s="739"/>
    </row>
    <row r="127" spans="1:10" ht="18.75" x14ac:dyDescent="0.3">
      <c r="A127" s="811"/>
      <c r="B127" s="811"/>
      <c r="C127" s="811"/>
      <c r="D127" s="811"/>
      <c r="E127" s="811"/>
      <c r="F127" s="813"/>
      <c r="G127" s="811"/>
      <c r="H127" s="811"/>
      <c r="I127" s="739"/>
    </row>
    <row r="128" spans="1:10" ht="18.75" x14ac:dyDescent="0.3">
      <c r="A128" s="811"/>
      <c r="B128" s="811"/>
      <c r="C128" s="811"/>
      <c r="D128" s="811"/>
      <c r="E128" s="811"/>
      <c r="F128" s="813"/>
      <c r="G128" s="811"/>
      <c r="H128" s="811"/>
      <c r="I128" s="739"/>
    </row>
    <row r="129" spans="1:9" ht="18.75" x14ac:dyDescent="0.3">
      <c r="A129" s="811"/>
      <c r="B129" s="811"/>
      <c r="C129" s="811"/>
      <c r="D129" s="811"/>
      <c r="E129" s="811"/>
      <c r="F129" s="813"/>
      <c r="G129" s="811"/>
      <c r="H129" s="811"/>
      <c r="I129" s="739"/>
    </row>
    <row r="130" spans="1:9" ht="18.75" x14ac:dyDescent="0.3">
      <c r="A130" s="811"/>
      <c r="B130" s="811"/>
      <c r="C130" s="811"/>
      <c r="D130" s="811"/>
      <c r="E130" s="811"/>
      <c r="F130" s="813"/>
      <c r="G130" s="811"/>
      <c r="H130" s="811"/>
      <c r="I130" s="739"/>
    </row>
    <row r="131" spans="1:9" ht="18.75" x14ac:dyDescent="0.3">
      <c r="A131" s="811"/>
      <c r="B131" s="811"/>
      <c r="C131" s="811"/>
      <c r="D131" s="811"/>
      <c r="E131" s="811"/>
      <c r="F131" s="813"/>
      <c r="G131" s="811"/>
      <c r="H131" s="811"/>
      <c r="I131" s="739"/>
    </row>
    <row r="132" spans="1:9" ht="18.75" x14ac:dyDescent="0.3">
      <c r="A132" s="811"/>
      <c r="B132" s="811"/>
      <c r="C132" s="811"/>
      <c r="D132" s="811"/>
      <c r="E132" s="811"/>
      <c r="F132" s="813"/>
      <c r="G132" s="811"/>
      <c r="H132" s="811"/>
      <c r="I132" s="739"/>
    </row>
    <row r="133" spans="1:9" ht="18.75" x14ac:dyDescent="0.3">
      <c r="A133" s="811"/>
      <c r="B133" s="811"/>
      <c r="C133" s="811"/>
      <c r="D133" s="811"/>
      <c r="E133" s="811"/>
      <c r="F133" s="813"/>
      <c r="G133" s="811"/>
      <c r="H133" s="811"/>
      <c r="I133" s="739"/>
    </row>
    <row r="250" spans="1:1" x14ac:dyDescent="0.25">
      <c r="A250" s="417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1" zoomScale="55" zoomScaleNormal="40" zoomScaleSheetLayoutView="55" zoomScalePageLayoutView="50" workbookViewId="0">
      <selection activeCell="C111" sqref="C11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8" t="s">
        <v>44</v>
      </c>
      <c r="B1" s="488"/>
      <c r="C1" s="488"/>
      <c r="D1" s="488"/>
      <c r="E1" s="488"/>
      <c r="F1" s="488"/>
      <c r="G1" s="488"/>
      <c r="H1" s="488"/>
      <c r="I1" s="488"/>
    </row>
    <row r="2" spans="1:9" ht="18.75" customHeight="1" x14ac:dyDescent="0.25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.75" customHeight="1" x14ac:dyDescent="0.25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8.75" customHeight="1" x14ac:dyDescent="0.25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8.75" customHeight="1" x14ac:dyDescent="0.25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8.75" customHeight="1" x14ac:dyDescent="0.25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8.75" customHeight="1" x14ac:dyDescent="0.25">
      <c r="A7" s="488"/>
      <c r="B7" s="488"/>
      <c r="C7" s="488"/>
      <c r="D7" s="488"/>
      <c r="E7" s="488"/>
      <c r="F7" s="488"/>
      <c r="G7" s="488"/>
      <c r="H7" s="488"/>
      <c r="I7" s="488"/>
    </row>
    <row r="8" spans="1:9" x14ac:dyDescent="0.25">
      <c r="A8" s="489" t="s">
        <v>45</v>
      </c>
      <c r="B8" s="489"/>
      <c r="C8" s="489"/>
      <c r="D8" s="489"/>
      <c r="E8" s="489"/>
      <c r="F8" s="489"/>
      <c r="G8" s="489"/>
      <c r="H8" s="489"/>
      <c r="I8" s="489"/>
    </row>
    <row r="9" spans="1:9" x14ac:dyDescent="0.25">
      <c r="A9" s="489"/>
      <c r="B9" s="489"/>
      <c r="C9" s="489"/>
      <c r="D9" s="489"/>
      <c r="E9" s="489"/>
      <c r="F9" s="489"/>
      <c r="G9" s="489"/>
      <c r="H9" s="489"/>
      <c r="I9" s="489"/>
    </row>
    <row r="10" spans="1:9" x14ac:dyDescent="0.25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x14ac:dyDescent="0.25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x14ac:dyDescent="0.25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x14ac:dyDescent="0.25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x14ac:dyDescent="0.25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x14ac:dyDescent="0.3">
      <c r="A15" s="50"/>
    </row>
    <row r="16" spans="1:9" ht="19.5" customHeight="1" x14ac:dyDescent="0.3">
      <c r="A16" s="522" t="s">
        <v>30</v>
      </c>
      <c r="B16" s="523"/>
      <c r="C16" s="523"/>
      <c r="D16" s="523"/>
      <c r="E16" s="523"/>
      <c r="F16" s="523"/>
      <c r="G16" s="523"/>
      <c r="H16" s="524"/>
    </row>
    <row r="17" spans="1:14" ht="20.25" customHeight="1" x14ac:dyDescent="0.25">
      <c r="A17" s="525" t="s">
        <v>46</v>
      </c>
      <c r="B17" s="525"/>
      <c r="C17" s="525"/>
      <c r="D17" s="525"/>
      <c r="E17" s="525"/>
      <c r="F17" s="525"/>
      <c r="G17" s="525"/>
      <c r="H17" s="525"/>
    </row>
    <row r="18" spans="1:14" ht="26.25" customHeight="1" x14ac:dyDescent="0.4">
      <c r="A18" s="52" t="s">
        <v>32</v>
      </c>
      <c r="B18" s="521" t="s">
        <v>4</v>
      </c>
      <c r="C18" s="521"/>
      <c r="D18" s="219"/>
      <c r="E18" s="53"/>
      <c r="F18" s="54"/>
      <c r="G18" s="54"/>
      <c r="H18" s="54"/>
    </row>
    <row r="19" spans="1:14" ht="26.25" customHeight="1" x14ac:dyDescent="0.4">
      <c r="A19" s="52" t="s">
        <v>33</v>
      </c>
      <c r="B19" s="55" t="s">
        <v>6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34</v>
      </c>
      <c r="B20" s="526" t="s">
        <v>8</v>
      </c>
      <c r="C20" s="526"/>
      <c r="D20" s="54"/>
      <c r="E20" s="54"/>
      <c r="F20" s="54"/>
      <c r="G20" s="54"/>
      <c r="H20" s="54"/>
    </row>
    <row r="21" spans="1:14" ht="26.25" customHeight="1" x14ac:dyDescent="0.4">
      <c r="A21" s="52" t="s">
        <v>35</v>
      </c>
      <c r="B21" s="526" t="s">
        <v>10</v>
      </c>
      <c r="C21" s="526"/>
      <c r="D21" s="526"/>
      <c r="E21" s="526"/>
      <c r="F21" s="526"/>
      <c r="G21" s="526"/>
      <c r="H21" s="526"/>
      <c r="I21" s="56"/>
    </row>
    <row r="22" spans="1:14" ht="26.25" customHeight="1" x14ac:dyDescent="0.4">
      <c r="A22" s="52" t="s">
        <v>36</v>
      </c>
      <c r="B22" s="57" t="s">
        <v>11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37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3</v>
      </c>
      <c r="B26" s="521" t="s">
        <v>124</v>
      </c>
      <c r="C26" s="521"/>
    </row>
    <row r="27" spans="1:14" ht="26.25" customHeight="1" x14ac:dyDescent="0.4">
      <c r="A27" s="61" t="s">
        <v>47</v>
      </c>
      <c r="B27" s="519"/>
      <c r="C27" s="519"/>
    </row>
    <row r="28" spans="1:14" ht="27" customHeight="1" x14ac:dyDescent="0.4">
      <c r="A28" s="61" t="s">
        <v>5</v>
      </c>
      <c r="B28" s="62">
        <v>86.6</v>
      </c>
    </row>
    <row r="29" spans="1:14" s="3" customFormat="1" ht="27" customHeight="1" x14ac:dyDescent="0.4">
      <c r="A29" s="61" t="s">
        <v>48</v>
      </c>
      <c r="B29" s="63"/>
      <c r="C29" s="496" t="s">
        <v>49</v>
      </c>
      <c r="D29" s="497"/>
      <c r="E29" s="497"/>
      <c r="F29" s="497"/>
      <c r="G29" s="498"/>
      <c r="I29" s="64"/>
      <c r="J29" s="64"/>
      <c r="K29" s="64"/>
      <c r="L29" s="64"/>
    </row>
    <row r="30" spans="1:14" s="3" customFormat="1" ht="19.5" customHeight="1" x14ac:dyDescent="0.3">
      <c r="A30" s="61" t="s">
        <v>50</v>
      </c>
      <c r="B30" s="65">
        <f>B28-B29</f>
        <v>86.6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51</v>
      </c>
      <c r="B31" s="68">
        <v>1</v>
      </c>
      <c r="C31" s="499" t="s">
        <v>52</v>
      </c>
      <c r="D31" s="500"/>
      <c r="E31" s="500"/>
      <c r="F31" s="500"/>
      <c r="G31" s="500"/>
      <c r="H31" s="501"/>
      <c r="I31" s="64"/>
      <c r="J31" s="64"/>
      <c r="K31" s="64"/>
      <c r="L31" s="64"/>
    </row>
    <row r="32" spans="1:14" s="3" customFormat="1" ht="27" customHeight="1" x14ac:dyDescent="0.4">
      <c r="A32" s="61" t="s">
        <v>53</v>
      </c>
      <c r="B32" s="68">
        <v>1</v>
      </c>
      <c r="C32" s="499" t="s">
        <v>54</v>
      </c>
      <c r="D32" s="500"/>
      <c r="E32" s="500"/>
      <c r="F32" s="500"/>
      <c r="G32" s="500"/>
      <c r="H32" s="501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55</v>
      </c>
      <c r="B34" s="73">
        <f>B31/B32</f>
        <v>1</v>
      </c>
      <c r="C34" s="51" t="s">
        <v>56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57</v>
      </c>
      <c r="B36" s="75">
        <v>20</v>
      </c>
      <c r="C36" s="51"/>
      <c r="D36" s="502" t="s">
        <v>58</v>
      </c>
      <c r="E36" s="520"/>
      <c r="F36" s="502" t="s">
        <v>59</v>
      </c>
      <c r="G36" s="503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60</v>
      </c>
      <c r="B37" s="77">
        <v>10</v>
      </c>
      <c r="C37" s="78" t="s">
        <v>61</v>
      </c>
      <c r="D37" s="79" t="s">
        <v>62</v>
      </c>
      <c r="E37" s="80" t="s">
        <v>63</v>
      </c>
      <c r="F37" s="79" t="s">
        <v>62</v>
      </c>
      <c r="G37" s="81" t="s">
        <v>63</v>
      </c>
      <c r="I37" s="82" t="s">
        <v>64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65</v>
      </c>
      <c r="B38" s="77">
        <v>25</v>
      </c>
      <c r="C38" s="83">
        <v>1</v>
      </c>
      <c r="D38" s="84">
        <v>54164074</v>
      </c>
      <c r="E38" s="85">
        <f>IF(ISBLANK(D38),"-",$D$48/$D$45*D38)</f>
        <v>59748872.843311757</v>
      </c>
      <c r="F38" s="84">
        <v>54754413</v>
      </c>
      <c r="G38" s="86">
        <f>IF(ISBLANK(F38),"-",$D$48/$F$45*F38)</f>
        <v>61313813.857529603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66</v>
      </c>
      <c r="B39" s="77">
        <v>1</v>
      </c>
      <c r="C39" s="88">
        <v>2</v>
      </c>
      <c r="D39" s="89">
        <v>54162399</v>
      </c>
      <c r="E39" s="90">
        <f>IF(ISBLANK(D39),"-",$D$48/$D$45*D39)</f>
        <v>59747025.135880947</v>
      </c>
      <c r="F39" s="89">
        <v>54452523</v>
      </c>
      <c r="G39" s="91">
        <f>IF(ISBLANK(F39),"-",$D$48/$F$45*F39)</f>
        <v>60975758.415944472</v>
      </c>
      <c r="I39" s="504">
        <f>ABS((F43/D43*D42)-F42)/D42</f>
        <v>1.6151577930140475E-2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67</v>
      </c>
      <c r="B40" s="77">
        <v>1</v>
      </c>
      <c r="C40" s="88">
        <v>3</v>
      </c>
      <c r="D40" s="89">
        <v>54863362</v>
      </c>
      <c r="E40" s="90">
        <f>IF(ISBLANK(D40),"-",$D$48/$D$45*D40)</f>
        <v>60520263.66950503</v>
      </c>
      <c r="F40" s="89">
        <v>54186726</v>
      </c>
      <c r="G40" s="91">
        <f>IF(ISBLANK(F40),"-",$D$48/$F$45*F40)</f>
        <v>60678119.798544087</v>
      </c>
      <c r="I40" s="504"/>
      <c r="L40" s="69"/>
      <c r="M40" s="69"/>
      <c r="N40" s="92"/>
    </row>
    <row r="41" spans="1:14" ht="27" customHeight="1" x14ac:dyDescent="0.4">
      <c r="A41" s="76" t="s">
        <v>68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69</v>
      </c>
      <c r="B42" s="77">
        <v>1</v>
      </c>
      <c r="C42" s="98" t="s">
        <v>70</v>
      </c>
      <c r="D42" s="99">
        <f>AVERAGE(D38:D41)</f>
        <v>54396611.666666664</v>
      </c>
      <c r="E42" s="100">
        <f>AVERAGE(E38:E41)</f>
        <v>60005387.216232575</v>
      </c>
      <c r="F42" s="99">
        <f>AVERAGE(F38:F41)</f>
        <v>54464554</v>
      </c>
      <c r="G42" s="101">
        <f>AVERAGE(G38:G41)</f>
        <v>60989230.690672718</v>
      </c>
      <c r="H42" s="102"/>
    </row>
    <row r="43" spans="1:14" ht="26.25" customHeight="1" x14ac:dyDescent="0.4">
      <c r="A43" s="76" t="s">
        <v>71</v>
      </c>
      <c r="B43" s="77">
        <v>1</v>
      </c>
      <c r="C43" s="103" t="s">
        <v>72</v>
      </c>
      <c r="D43" s="104">
        <v>26.17</v>
      </c>
      <c r="E43" s="92"/>
      <c r="F43" s="104">
        <v>25.78</v>
      </c>
      <c r="H43" s="102"/>
    </row>
    <row r="44" spans="1:14" ht="26.25" customHeight="1" x14ac:dyDescent="0.4">
      <c r="A44" s="76" t="s">
        <v>73</v>
      </c>
      <c r="B44" s="77">
        <v>1</v>
      </c>
      <c r="C44" s="105" t="s">
        <v>74</v>
      </c>
      <c r="D44" s="106">
        <f>D43*$B$34</f>
        <v>26.17</v>
      </c>
      <c r="E44" s="107"/>
      <c r="F44" s="106">
        <f>F43*$B$34</f>
        <v>25.78</v>
      </c>
      <c r="H44" s="102"/>
    </row>
    <row r="45" spans="1:14" ht="19.5" customHeight="1" x14ac:dyDescent="0.3">
      <c r="A45" s="76" t="s">
        <v>75</v>
      </c>
      <c r="B45" s="108">
        <f>(B44/B43)*(B42/B41)*(B40/B39)*(B38/B37)*B36</f>
        <v>50</v>
      </c>
      <c r="C45" s="105" t="s">
        <v>76</v>
      </c>
      <c r="D45" s="109">
        <f>D44*$B$30/100</f>
        <v>22.663220000000003</v>
      </c>
      <c r="E45" s="110"/>
      <c r="F45" s="109">
        <f>F44*$B$30/100</f>
        <v>22.325479999999999</v>
      </c>
      <c r="H45" s="102"/>
    </row>
    <row r="46" spans="1:14" ht="19.5" customHeight="1" x14ac:dyDescent="0.3">
      <c r="A46" s="490" t="s">
        <v>77</v>
      </c>
      <c r="B46" s="491"/>
      <c r="C46" s="105" t="s">
        <v>78</v>
      </c>
      <c r="D46" s="111">
        <f>D45/$B$45</f>
        <v>0.45326440000000007</v>
      </c>
      <c r="E46" s="112"/>
      <c r="F46" s="113">
        <f>F45/$B$45</f>
        <v>0.44650959999999995</v>
      </c>
      <c r="H46" s="102"/>
    </row>
    <row r="47" spans="1:14" ht="27" customHeight="1" x14ac:dyDescent="0.4">
      <c r="A47" s="492"/>
      <c r="B47" s="493"/>
      <c r="C47" s="114" t="s">
        <v>79</v>
      </c>
      <c r="D47" s="115">
        <v>0.5</v>
      </c>
      <c r="E47" s="116"/>
      <c r="F47" s="112"/>
      <c r="H47" s="102"/>
    </row>
    <row r="48" spans="1:14" ht="18.75" x14ac:dyDescent="0.3">
      <c r="C48" s="117" t="s">
        <v>80</v>
      </c>
      <c r="D48" s="109">
        <f>D47*$B$45</f>
        <v>25</v>
      </c>
      <c r="F48" s="118"/>
      <c r="H48" s="102"/>
    </row>
    <row r="49" spans="1:12" ht="19.5" customHeight="1" x14ac:dyDescent="0.3">
      <c r="C49" s="119" t="s">
        <v>81</v>
      </c>
      <c r="D49" s="120">
        <f>D48/B34</f>
        <v>25</v>
      </c>
      <c r="F49" s="118"/>
      <c r="H49" s="102"/>
    </row>
    <row r="50" spans="1:12" ht="18.75" x14ac:dyDescent="0.3">
      <c r="C50" s="74" t="s">
        <v>82</v>
      </c>
      <c r="D50" s="121">
        <f>AVERAGE(E38:E41,G38:G41)</f>
        <v>60497308.953452654</v>
      </c>
      <c r="F50" s="122"/>
      <c r="H50" s="102"/>
    </row>
    <row r="51" spans="1:12" ht="18.75" x14ac:dyDescent="0.3">
      <c r="C51" s="76" t="s">
        <v>83</v>
      </c>
      <c r="D51" s="123">
        <f>STDEV(E38:E41,G38:G41)/D50</f>
        <v>1.0589040717430201E-2</v>
      </c>
      <c r="F51" s="122"/>
      <c r="H51" s="102"/>
    </row>
    <row r="52" spans="1:12" ht="19.5" customHeight="1" x14ac:dyDescent="0.3">
      <c r="C52" s="124" t="s">
        <v>19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84</v>
      </c>
    </row>
    <row r="55" spans="1:12" ht="18.75" x14ac:dyDescent="0.3">
      <c r="A55" s="51" t="s">
        <v>85</v>
      </c>
      <c r="B55" s="128" t="str">
        <f>B21</f>
        <v>Each film coate tablet contains: Amoxicillin Trihydrate BP Eq. to Amoxicillin 250mg (as Potassium Clavulanate Diluted BP) Eq. to Clavulanic acid 125mg</v>
      </c>
    </row>
    <row r="56" spans="1:12" ht="26.25" customHeight="1" x14ac:dyDescent="0.4">
      <c r="A56" s="129" t="s">
        <v>86</v>
      </c>
      <c r="B56" s="130">
        <v>250</v>
      </c>
      <c r="C56" s="51" t="str">
        <f>B20</f>
        <v>Amoxicillin &amp; Clavulanic Acid</v>
      </c>
      <c r="H56" s="131"/>
    </row>
    <row r="57" spans="1:12" ht="18.75" x14ac:dyDescent="0.3">
      <c r="A57" s="128" t="s">
        <v>87</v>
      </c>
      <c r="B57" s="220">
        <f>Uniformity!C46</f>
        <v>705.48599999999988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88</v>
      </c>
      <c r="B59" s="75">
        <v>100</v>
      </c>
      <c r="C59" s="51"/>
      <c r="D59" s="132" t="s">
        <v>89</v>
      </c>
      <c r="E59" s="133" t="s">
        <v>61</v>
      </c>
      <c r="F59" s="133" t="s">
        <v>62</v>
      </c>
      <c r="G59" s="133" t="s">
        <v>90</v>
      </c>
      <c r="H59" s="78" t="s">
        <v>91</v>
      </c>
      <c r="L59" s="64"/>
    </row>
    <row r="60" spans="1:12" s="3" customFormat="1" ht="26.25" customHeight="1" x14ac:dyDescent="0.4">
      <c r="A60" s="76" t="s">
        <v>92</v>
      </c>
      <c r="B60" s="77">
        <v>1</v>
      </c>
      <c r="C60" s="507" t="s">
        <v>93</v>
      </c>
      <c r="D60" s="510">
        <v>129.33000000000001</v>
      </c>
      <c r="E60" s="134">
        <v>1</v>
      </c>
      <c r="F60" s="135">
        <v>54911420</v>
      </c>
      <c r="G60" s="221">
        <f>IF(ISBLANK(F60),"-",(F60/$D$50*$D$47*$B$68)*($B$57/$D$60))</f>
        <v>247.56300432214255</v>
      </c>
      <c r="H60" s="136">
        <f t="shared" ref="H60:H71" si="0">IF(ISBLANK(F60),"-",G60/$B$56)</f>
        <v>0.99025201728857015</v>
      </c>
      <c r="L60" s="64"/>
    </row>
    <row r="61" spans="1:12" s="3" customFormat="1" ht="26.25" customHeight="1" x14ac:dyDescent="0.4">
      <c r="A61" s="76" t="s">
        <v>94</v>
      </c>
      <c r="B61" s="77">
        <v>1</v>
      </c>
      <c r="C61" s="508"/>
      <c r="D61" s="511"/>
      <c r="E61" s="137">
        <v>2</v>
      </c>
      <c r="F61" s="89">
        <v>52108895</v>
      </c>
      <c r="G61" s="222">
        <f>IF(ISBLANK(F61),"-",(F61/$D$50*$D$47*$B$68)*($B$57/$D$60))</f>
        <v>234.92808232070985</v>
      </c>
      <c r="H61" s="138"/>
      <c r="L61" s="64"/>
    </row>
    <row r="62" spans="1:12" s="3" customFormat="1" ht="26.25" customHeight="1" x14ac:dyDescent="0.4">
      <c r="A62" s="76" t="s">
        <v>95</v>
      </c>
      <c r="B62" s="77">
        <v>1</v>
      </c>
      <c r="C62" s="508"/>
      <c r="D62" s="511"/>
      <c r="E62" s="137">
        <v>3</v>
      </c>
      <c r="F62" s="139">
        <v>54735660</v>
      </c>
      <c r="G62" s="222">
        <f>IF(ISBLANK(F62),"-",(F62/$D$50*$D$47*$B$68)*($B$57/$D$60))</f>
        <v>246.77060679099768</v>
      </c>
      <c r="H62" s="138">
        <f t="shared" si="0"/>
        <v>0.98708242716399075</v>
      </c>
      <c r="L62" s="64"/>
    </row>
    <row r="63" spans="1:12" ht="27" customHeight="1" x14ac:dyDescent="0.4">
      <c r="A63" s="76" t="s">
        <v>96</v>
      </c>
      <c r="B63" s="77">
        <v>1</v>
      </c>
      <c r="C63" s="518"/>
      <c r="D63" s="512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97</v>
      </c>
      <c r="B64" s="77">
        <v>1</v>
      </c>
      <c r="C64" s="507" t="s">
        <v>98</v>
      </c>
      <c r="D64" s="510">
        <v>140.02000000000001</v>
      </c>
      <c r="E64" s="134">
        <v>1</v>
      </c>
      <c r="F64" s="135">
        <v>58533350</v>
      </c>
      <c r="G64" s="223">
        <f>IF(ISBLANK(F64),"-",(F64/$D$50*$D$47*$B$68)*($B$57/$D$64))</f>
        <v>243.7449657239477</v>
      </c>
      <c r="H64" s="142">
        <f t="shared" si="0"/>
        <v>0.97497986289579075</v>
      </c>
    </row>
    <row r="65" spans="1:8" ht="26.25" customHeight="1" x14ac:dyDescent="0.4">
      <c r="A65" s="76" t="s">
        <v>99</v>
      </c>
      <c r="B65" s="77">
        <v>1</v>
      </c>
      <c r="C65" s="508"/>
      <c r="D65" s="511"/>
      <c r="E65" s="137">
        <v>2</v>
      </c>
      <c r="F65" s="89">
        <v>59105165</v>
      </c>
      <c r="G65" s="224">
        <f>IF(ISBLANK(F65),"-",(F65/$D$50*$D$47*$B$68)*($B$57/$D$64))</f>
        <v>246.12612155349507</v>
      </c>
      <c r="H65" s="143">
        <f t="shared" si="0"/>
        <v>0.98450448621398023</v>
      </c>
    </row>
    <row r="66" spans="1:8" ht="26.25" customHeight="1" x14ac:dyDescent="0.4">
      <c r="A66" s="76" t="s">
        <v>100</v>
      </c>
      <c r="B66" s="77">
        <v>1</v>
      </c>
      <c r="C66" s="508"/>
      <c r="D66" s="511"/>
      <c r="E66" s="137">
        <v>3</v>
      </c>
      <c r="F66" s="89">
        <v>56628170</v>
      </c>
      <c r="G66" s="224">
        <f>IF(ISBLANK(F66),"-",(F66/$D$50*$D$47*$B$68)*($B$57/$D$64))</f>
        <v>235.81140248524784</v>
      </c>
      <c r="H66" s="143">
        <f t="shared" si="0"/>
        <v>0.94324560994099138</v>
      </c>
    </row>
    <row r="67" spans="1:8" ht="27" customHeight="1" x14ac:dyDescent="0.4">
      <c r="A67" s="76" t="s">
        <v>101</v>
      </c>
      <c r="B67" s="77">
        <v>1</v>
      </c>
      <c r="C67" s="518"/>
      <c r="D67" s="512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102</v>
      </c>
      <c r="B68" s="145">
        <f>(B67/B66)*(B65/B64)*(B63/B62)*(B61/B60)*B59</f>
        <v>100</v>
      </c>
      <c r="C68" s="507" t="s">
        <v>103</v>
      </c>
      <c r="D68" s="510">
        <v>145.59</v>
      </c>
      <c r="E68" s="134">
        <v>1</v>
      </c>
      <c r="F68" s="135">
        <v>56856493</v>
      </c>
      <c r="G68" s="223">
        <f>IF(ISBLANK(F68),"-",(F68/$D$50*$D$47*$B$68)*($B$57/$D$68))</f>
        <v>227.70410999095131</v>
      </c>
      <c r="H68" s="138"/>
    </row>
    <row r="69" spans="1:8" ht="27" customHeight="1" x14ac:dyDescent="0.4">
      <c r="A69" s="124" t="s">
        <v>104</v>
      </c>
      <c r="B69" s="146">
        <f>(D47*B68)/B56*B57</f>
        <v>141.09719999999999</v>
      </c>
      <c r="C69" s="508"/>
      <c r="D69" s="511"/>
      <c r="E69" s="137">
        <v>2</v>
      </c>
      <c r="F69" s="89">
        <v>57539636</v>
      </c>
      <c r="G69" s="224">
        <f>IF(ISBLANK(F69),"-",(F69/$D$50*$D$47*$B$68)*($B$57/$D$68))</f>
        <v>230.44002387877322</v>
      </c>
      <c r="H69" s="138"/>
    </row>
    <row r="70" spans="1:8" ht="26.25" customHeight="1" x14ac:dyDescent="0.4">
      <c r="A70" s="513" t="s">
        <v>77</v>
      </c>
      <c r="B70" s="514"/>
      <c r="C70" s="508"/>
      <c r="D70" s="511"/>
      <c r="E70" s="137">
        <v>3</v>
      </c>
      <c r="F70" s="89">
        <v>58998402</v>
      </c>
      <c r="G70" s="224">
        <f>IF(ISBLANK(F70),"-",(F70/$D$50*$D$47*$B$68)*($B$57/$D$68))</f>
        <v>236.28222406011503</v>
      </c>
      <c r="H70" s="138"/>
    </row>
    <row r="71" spans="1:8" ht="27" customHeight="1" x14ac:dyDescent="0.4">
      <c r="A71" s="515"/>
      <c r="B71" s="516"/>
      <c r="C71" s="509"/>
      <c r="D71" s="512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70</v>
      </c>
      <c r="G72" s="230">
        <f>AVERAGE(G60:G71)</f>
        <v>238.81894901404223</v>
      </c>
      <c r="H72" s="151">
        <f>AVERAGE(H60:H71)</f>
        <v>0.97601288070066461</v>
      </c>
    </row>
    <row r="73" spans="1:8" ht="26.25" customHeight="1" x14ac:dyDescent="0.4">
      <c r="C73" s="148"/>
      <c r="D73" s="148"/>
      <c r="E73" s="148"/>
      <c r="F73" s="152" t="s">
        <v>83</v>
      </c>
      <c r="G73" s="226">
        <f>STDEV(G60:G71)/G72</f>
        <v>3.1114032110088993E-2</v>
      </c>
      <c r="H73" s="226">
        <f>STDEV(H60:H71)/H72</f>
        <v>1.9655831917889405E-2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19</v>
      </c>
      <c r="G74" s="155">
        <f>COUNT(G60:G71)</f>
        <v>9</v>
      </c>
      <c r="H74" s="155">
        <f>COUNT(H60:H71)</f>
        <v>5</v>
      </c>
    </row>
    <row r="76" spans="1:8" ht="26.25" customHeight="1" x14ac:dyDescent="0.4">
      <c r="A76" s="60" t="s">
        <v>105</v>
      </c>
      <c r="B76" s="156" t="s">
        <v>106</v>
      </c>
      <c r="C76" s="494" t="str">
        <f>B20</f>
        <v>Amoxicillin &amp; Clavulanic Acid</v>
      </c>
      <c r="D76" s="494"/>
      <c r="E76" s="157" t="s">
        <v>107</v>
      </c>
      <c r="F76" s="157"/>
      <c r="G76" s="158">
        <f>H72</f>
        <v>0.97601288070066461</v>
      </c>
      <c r="H76" s="159"/>
    </row>
    <row r="77" spans="1:8" ht="18.75" x14ac:dyDescent="0.3">
      <c r="A77" s="59" t="s">
        <v>108</v>
      </c>
      <c r="B77" s="59" t="s">
        <v>109</v>
      </c>
    </row>
    <row r="78" spans="1:8" ht="18.75" x14ac:dyDescent="0.3">
      <c r="A78" s="59"/>
      <c r="B78" s="59"/>
    </row>
    <row r="79" spans="1:8" ht="26.25" customHeight="1" x14ac:dyDescent="0.4">
      <c r="A79" s="60" t="s">
        <v>3</v>
      </c>
      <c r="B79" s="517" t="str">
        <f>B26</f>
        <v>Amoxicillin</v>
      </c>
      <c r="C79" s="517"/>
    </row>
    <row r="80" spans="1:8" ht="26.25" customHeight="1" x14ac:dyDescent="0.4">
      <c r="A80" s="61" t="s">
        <v>47</v>
      </c>
      <c r="B80" s="517">
        <f>B27</f>
        <v>0</v>
      </c>
      <c r="C80" s="517"/>
    </row>
    <row r="81" spans="1:12" ht="27" customHeight="1" x14ac:dyDescent="0.4">
      <c r="A81" s="61" t="s">
        <v>5</v>
      </c>
      <c r="B81" s="160">
        <f>B28</f>
        <v>86.6</v>
      </c>
    </row>
    <row r="82" spans="1:12" s="3" customFormat="1" ht="27" customHeight="1" x14ac:dyDescent="0.4">
      <c r="A82" s="61" t="s">
        <v>48</v>
      </c>
      <c r="B82" s="63">
        <v>0</v>
      </c>
      <c r="C82" s="496" t="s">
        <v>49</v>
      </c>
      <c r="D82" s="497"/>
      <c r="E82" s="497"/>
      <c r="F82" s="497"/>
      <c r="G82" s="498"/>
      <c r="I82" s="64"/>
      <c r="J82" s="64"/>
      <c r="K82" s="64"/>
      <c r="L82" s="64"/>
    </row>
    <row r="83" spans="1:12" s="3" customFormat="1" ht="19.5" customHeight="1" x14ac:dyDescent="0.3">
      <c r="A83" s="61" t="s">
        <v>50</v>
      </c>
      <c r="B83" s="65">
        <f>B81-B82</f>
        <v>86.6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51</v>
      </c>
      <c r="B84" s="68">
        <v>1</v>
      </c>
      <c r="C84" s="499" t="s">
        <v>110</v>
      </c>
      <c r="D84" s="500"/>
      <c r="E84" s="500"/>
      <c r="F84" s="500"/>
      <c r="G84" s="500"/>
      <c r="H84" s="501"/>
      <c r="I84" s="64"/>
      <c r="J84" s="64"/>
      <c r="K84" s="64"/>
      <c r="L84" s="64"/>
    </row>
    <row r="85" spans="1:12" s="3" customFormat="1" ht="27" customHeight="1" x14ac:dyDescent="0.4">
      <c r="A85" s="61" t="s">
        <v>53</v>
      </c>
      <c r="B85" s="68">
        <v>1</v>
      </c>
      <c r="C85" s="499" t="s">
        <v>111</v>
      </c>
      <c r="D85" s="500"/>
      <c r="E85" s="500"/>
      <c r="F85" s="500"/>
      <c r="G85" s="500"/>
      <c r="H85" s="501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55</v>
      </c>
      <c r="B87" s="73">
        <f>B84/B85</f>
        <v>1</v>
      </c>
      <c r="C87" s="51" t="s">
        <v>56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57</v>
      </c>
      <c r="B89" s="75">
        <v>20</v>
      </c>
      <c r="D89" s="161" t="s">
        <v>58</v>
      </c>
      <c r="E89" s="162"/>
      <c r="F89" s="502" t="s">
        <v>59</v>
      </c>
      <c r="G89" s="503"/>
    </row>
    <row r="90" spans="1:12" ht="27" customHeight="1" x14ac:dyDescent="0.4">
      <c r="A90" s="76" t="s">
        <v>60</v>
      </c>
      <c r="B90" s="77">
        <v>10</v>
      </c>
      <c r="C90" s="163" t="s">
        <v>61</v>
      </c>
      <c r="D90" s="79" t="s">
        <v>62</v>
      </c>
      <c r="E90" s="80" t="s">
        <v>63</v>
      </c>
      <c r="F90" s="79" t="s">
        <v>62</v>
      </c>
      <c r="G90" s="164" t="s">
        <v>63</v>
      </c>
      <c r="I90" s="82" t="s">
        <v>64</v>
      </c>
    </row>
    <row r="91" spans="1:12" ht="26.25" customHeight="1" x14ac:dyDescent="0.4">
      <c r="A91" s="76" t="s">
        <v>65</v>
      </c>
      <c r="B91" s="77">
        <v>20</v>
      </c>
      <c r="C91" s="165">
        <v>1</v>
      </c>
      <c r="D91" s="84">
        <v>55027885</v>
      </c>
      <c r="E91" s="85">
        <f>IF(ISBLANK(D91),"-",$D$101/$D$98*D91)</f>
        <v>58983191.663188428</v>
      </c>
      <c r="F91" s="84">
        <v>59297897</v>
      </c>
      <c r="G91" s="86">
        <f>IF(ISBLANK(F91),"-",$D$101/$F$98*F91)</f>
        <v>59308909.478311941</v>
      </c>
      <c r="I91" s="87"/>
    </row>
    <row r="92" spans="1:12" ht="26.25" customHeight="1" x14ac:dyDescent="0.4">
      <c r="A92" s="76" t="s">
        <v>66</v>
      </c>
      <c r="B92" s="77">
        <v>15</v>
      </c>
      <c r="C92" s="149">
        <v>2</v>
      </c>
      <c r="D92" s="89">
        <v>54671497</v>
      </c>
      <c r="E92" s="90">
        <f>IF(ISBLANK(D92),"-",$D$101/$D$98*D92)</f>
        <v>58601187.126571029</v>
      </c>
      <c r="F92" s="89">
        <v>59355312</v>
      </c>
      <c r="G92" s="91">
        <f>IF(ISBLANK(F92),"-",$D$101/$F$98*F92)</f>
        <v>59366335.141109005</v>
      </c>
      <c r="I92" s="504">
        <f>ABS((F96/D96*D95)-F95)/D95</f>
        <v>1.3568437598895342E-2</v>
      </c>
    </row>
    <row r="93" spans="1:12" ht="26.25" customHeight="1" x14ac:dyDescent="0.4">
      <c r="A93" s="76" t="s">
        <v>67</v>
      </c>
      <c r="B93" s="77">
        <v>25</v>
      </c>
      <c r="C93" s="149">
        <v>3</v>
      </c>
      <c r="D93" s="89">
        <v>54901148</v>
      </c>
      <c r="E93" s="90">
        <f>IF(ISBLANK(D93),"-",$D$101/$D$98*D93)</f>
        <v>58847345.032669783</v>
      </c>
      <c r="F93" s="89">
        <v>59979127</v>
      </c>
      <c r="G93" s="91">
        <f>IF(ISBLANK(F93),"-",$D$101/$F$98*F93)</f>
        <v>59990265.992589511</v>
      </c>
      <c r="I93" s="504"/>
    </row>
    <row r="94" spans="1:12" ht="27" customHeight="1" x14ac:dyDescent="0.4">
      <c r="A94" s="76" t="s">
        <v>68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69</v>
      </c>
      <c r="B95" s="77">
        <v>1</v>
      </c>
      <c r="C95" s="168" t="s">
        <v>70</v>
      </c>
      <c r="D95" s="169">
        <f>AVERAGE(D91:D94)</f>
        <v>54866843.333333336</v>
      </c>
      <c r="E95" s="100">
        <f>AVERAGE(E91:E94)</f>
        <v>58810574.607476413</v>
      </c>
      <c r="F95" s="170">
        <f>AVERAGE(F91:F94)</f>
        <v>59544112</v>
      </c>
      <c r="G95" s="171">
        <f>AVERAGE(G91:G94)</f>
        <v>59555170.204003483</v>
      </c>
    </row>
    <row r="96" spans="1:12" ht="26.25" customHeight="1" x14ac:dyDescent="0.4">
      <c r="A96" s="76" t="s">
        <v>71</v>
      </c>
      <c r="B96" s="62">
        <v>1</v>
      </c>
      <c r="C96" s="172" t="s">
        <v>112</v>
      </c>
      <c r="D96" s="173">
        <v>19.95</v>
      </c>
      <c r="E96" s="92"/>
      <c r="F96" s="104">
        <v>21.38</v>
      </c>
    </row>
    <row r="97" spans="1:10" ht="26.25" customHeight="1" x14ac:dyDescent="0.4">
      <c r="A97" s="76" t="s">
        <v>73</v>
      </c>
      <c r="B97" s="62">
        <v>1</v>
      </c>
      <c r="C97" s="174" t="s">
        <v>113</v>
      </c>
      <c r="D97" s="175">
        <f>D96*$B$87</f>
        <v>19.95</v>
      </c>
      <c r="E97" s="107"/>
      <c r="F97" s="106">
        <f>F96*$B$87</f>
        <v>21.38</v>
      </c>
    </row>
    <row r="98" spans="1:10" ht="19.5" customHeight="1" x14ac:dyDescent="0.3">
      <c r="A98" s="76" t="s">
        <v>75</v>
      </c>
      <c r="B98" s="176">
        <f>(B97/B96)*(B95/B94)*(B93/B92)*(B91/B90)*B89</f>
        <v>66.666666666666671</v>
      </c>
      <c r="C98" s="174" t="s">
        <v>114</v>
      </c>
      <c r="D98" s="177">
        <f>D97*$B$83/100</f>
        <v>17.276699999999998</v>
      </c>
      <c r="E98" s="110"/>
      <c r="F98" s="109">
        <f>F97*$B$83/100</f>
        <v>18.515079999999998</v>
      </c>
    </row>
    <row r="99" spans="1:10" ht="19.5" customHeight="1" x14ac:dyDescent="0.3">
      <c r="A99" s="490" t="s">
        <v>77</v>
      </c>
      <c r="B99" s="505"/>
      <c r="C99" s="174" t="s">
        <v>115</v>
      </c>
      <c r="D99" s="178">
        <f>D98/$B$98</f>
        <v>0.25915049999999995</v>
      </c>
      <c r="E99" s="110"/>
      <c r="F99" s="113">
        <f>F98/$B$98</f>
        <v>0.27772619999999992</v>
      </c>
      <c r="G99" s="179"/>
      <c r="H99" s="102"/>
    </row>
    <row r="100" spans="1:10" ht="19.5" customHeight="1" x14ac:dyDescent="0.3">
      <c r="A100" s="492"/>
      <c r="B100" s="506"/>
      <c r="C100" s="174" t="s">
        <v>79</v>
      </c>
      <c r="D100" s="180">
        <f>$B$56/$B$116</f>
        <v>0.27777777777777779</v>
      </c>
      <c r="F100" s="118"/>
      <c r="G100" s="181"/>
      <c r="H100" s="102"/>
    </row>
    <row r="101" spans="1:10" ht="18.75" x14ac:dyDescent="0.3">
      <c r="C101" s="174" t="s">
        <v>80</v>
      </c>
      <c r="D101" s="175">
        <f>D100*$B$98</f>
        <v>18.518518518518519</v>
      </c>
      <c r="F101" s="118"/>
      <c r="G101" s="179"/>
      <c r="H101" s="102"/>
    </row>
    <row r="102" spans="1:10" ht="19.5" customHeight="1" x14ac:dyDescent="0.3">
      <c r="C102" s="182" t="s">
        <v>81</v>
      </c>
      <c r="D102" s="183">
        <f>D101/B34</f>
        <v>18.518518518518519</v>
      </c>
      <c r="F102" s="122"/>
      <c r="G102" s="179"/>
      <c r="H102" s="102"/>
      <c r="J102" s="184"/>
    </row>
    <row r="103" spans="1:10" ht="18.75" x14ac:dyDescent="0.3">
      <c r="C103" s="185" t="s">
        <v>116</v>
      </c>
      <c r="D103" s="186">
        <f>AVERAGE(E91:E94,G91:G94)</f>
        <v>59182872.405739956</v>
      </c>
      <c r="F103" s="122"/>
      <c r="G103" s="187"/>
      <c r="H103" s="102"/>
      <c r="J103" s="188"/>
    </row>
    <row r="104" spans="1:10" ht="18.75" x14ac:dyDescent="0.3">
      <c r="C104" s="152" t="s">
        <v>83</v>
      </c>
      <c r="D104" s="189">
        <f>STDEV(E91:E94,G91:G94)/D103</f>
        <v>8.2508800800927123E-3</v>
      </c>
      <c r="F104" s="122"/>
      <c r="G104" s="179"/>
      <c r="H104" s="102"/>
      <c r="J104" s="188"/>
    </row>
    <row r="105" spans="1:10" ht="19.5" customHeight="1" x14ac:dyDescent="0.3">
      <c r="C105" s="154" t="s">
        <v>19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117</v>
      </c>
      <c r="B107" s="75">
        <v>900</v>
      </c>
      <c r="C107" s="191" t="s">
        <v>118</v>
      </c>
      <c r="D107" s="192" t="s">
        <v>62</v>
      </c>
      <c r="E107" s="193" t="s">
        <v>119</v>
      </c>
      <c r="F107" s="194" t="s">
        <v>120</v>
      </c>
    </row>
    <row r="108" spans="1:10" ht="26.25" customHeight="1" x14ac:dyDescent="0.4">
      <c r="A108" s="76" t="s">
        <v>121</v>
      </c>
      <c r="B108" s="77">
        <v>1</v>
      </c>
      <c r="C108" s="195">
        <v>1</v>
      </c>
      <c r="D108" s="196">
        <v>60492742</v>
      </c>
      <c r="E108" s="227">
        <f t="shared" ref="E108:E113" si="1">IF(ISBLANK(D108),"-",D108/$D$103*$D$100*$B$116)</f>
        <v>255.53314473011707</v>
      </c>
      <c r="F108" s="197">
        <f t="shared" ref="F108:F113" si="2">IF(ISBLANK(D108), "-", E108/$B$56)</f>
        <v>1.0221325789204683</v>
      </c>
    </row>
    <row r="109" spans="1:10" ht="26.25" customHeight="1" x14ac:dyDescent="0.4">
      <c r="A109" s="76" t="s">
        <v>94</v>
      </c>
      <c r="B109" s="77">
        <v>1</v>
      </c>
      <c r="C109" s="195">
        <v>2</v>
      </c>
      <c r="D109" s="196">
        <v>59119794</v>
      </c>
      <c r="E109" s="228">
        <f t="shared" si="1"/>
        <v>249.73354450715271</v>
      </c>
      <c r="F109" s="198">
        <f t="shared" si="2"/>
        <v>0.99893417802861084</v>
      </c>
    </row>
    <row r="110" spans="1:10" ht="26.25" customHeight="1" x14ac:dyDescent="0.4">
      <c r="A110" s="76" t="s">
        <v>95</v>
      </c>
      <c r="B110" s="77">
        <v>1</v>
      </c>
      <c r="C110" s="195">
        <v>3</v>
      </c>
      <c r="D110" s="196">
        <v>58636837</v>
      </c>
      <c r="E110" s="228">
        <f t="shared" si="1"/>
        <v>247.69343991114314</v>
      </c>
      <c r="F110" s="198">
        <f t="shared" si="2"/>
        <v>0.99077375964457259</v>
      </c>
    </row>
    <row r="111" spans="1:10" ht="26.25" customHeight="1" x14ac:dyDescent="0.4">
      <c r="A111" s="76" t="s">
        <v>96</v>
      </c>
      <c r="B111" s="77">
        <v>1</v>
      </c>
      <c r="C111" s="195">
        <v>4</v>
      </c>
      <c r="D111" s="196">
        <v>61836380</v>
      </c>
      <c r="E111" s="228">
        <f t="shared" si="1"/>
        <v>261.2089337945124</v>
      </c>
      <c r="F111" s="198">
        <f t="shared" si="2"/>
        <v>1.0448357351780495</v>
      </c>
    </row>
    <row r="112" spans="1:10" ht="26.25" customHeight="1" x14ac:dyDescent="0.4">
      <c r="A112" s="76" t="s">
        <v>97</v>
      </c>
      <c r="B112" s="77">
        <v>1</v>
      </c>
      <c r="C112" s="195">
        <v>5</v>
      </c>
      <c r="D112" s="196">
        <v>56989940</v>
      </c>
      <c r="E112" s="228">
        <f t="shared" si="1"/>
        <v>240.73662566297111</v>
      </c>
      <c r="F112" s="198">
        <f t="shared" si="2"/>
        <v>0.96294650265188442</v>
      </c>
    </row>
    <row r="113" spans="1:10" ht="26.25" customHeight="1" x14ac:dyDescent="0.4">
      <c r="A113" s="76" t="s">
        <v>99</v>
      </c>
      <c r="B113" s="77">
        <v>1</v>
      </c>
      <c r="C113" s="199">
        <v>6</v>
      </c>
      <c r="D113" s="200">
        <v>56071519</v>
      </c>
      <c r="E113" s="229">
        <f t="shared" si="1"/>
        <v>236.85703616914091</v>
      </c>
      <c r="F113" s="201">
        <f t="shared" si="2"/>
        <v>0.94742814467656367</v>
      </c>
    </row>
    <row r="114" spans="1:10" ht="26.25" customHeight="1" x14ac:dyDescent="0.4">
      <c r="A114" s="76" t="s">
        <v>100</v>
      </c>
      <c r="B114" s="77">
        <v>1</v>
      </c>
      <c r="C114" s="195"/>
      <c r="D114" s="149"/>
      <c r="E114" s="50"/>
      <c r="F114" s="202"/>
      <c r="G114" s="527"/>
      <c r="H114" s="528" t="s">
        <v>132</v>
      </c>
    </row>
    <row r="115" spans="1:10" ht="26.25" customHeight="1" x14ac:dyDescent="0.4">
      <c r="A115" s="76" t="s">
        <v>101</v>
      </c>
      <c r="B115" s="77">
        <v>1</v>
      </c>
      <c r="C115" s="195"/>
      <c r="D115" s="203" t="s">
        <v>70</v>
      </c>
      <c r="E115" s="231">
        <f>AVERAGE(E108:E113)</f>
        <v>248.62712079583957</v>
      </c>
      <c r="F115" s="204">
        <f>AVERAGE(F108:F113)</f>
        <v>0.99450848318335827</v>
      </c>
      <c r="G115" s="529" t="s">
        <v>70</v>
      </c>
      <c r="H115" s="530">
        <f>AVERAGE('amoxicillin Trihydrate'!F108:F113,F108:F113)</f>
        <v>0.92078914770127562</v>
      </c>
    </row>
    <row r="116" spans="1:10" ht="27" customHeight="1" thickBot="1" x14ac:dyDescent="0.45">
      <c r="A116" s="76" t="s">
        <v>102</v>
      </c>
      <c r="B116" s="108">
        <f>(B115/B114)*(B113/B112)*(B111/B110)*(B109/B108)*B107</f>
        <v>900</v>
      </c>
      <c r="C116" s="205"/>
      <c r="D116" s="168" t="s">
        <v>83</v>
      </c>
      <c r="E116" s="206">
        <f>STDEV(E108:E113)/E115</f>
        <v>3.6372033058465043E-2</v>
      </c>
      <c r="F116" s="206">
        <f>STDEV(F108:F113)/F115</f>
        <v>3.6372033058465009E-2</v>
      </c>
      <c r="G116" s="531" t="s">
        <v>83</v>
      </c>
      <c r="H116" s="532">
        <f>STDEV('amoxicillin Trihydrate'!F108:F113,F108:F113)/H115</f>
        <v>8.9493443719774121E-2</v>
      </c>
      <c r="I116" s="50"/>
    </row>
    <row r="117" spans="1:10" ht="27" customHeight="1" thickBot="1" x14ac:dyDescent="0.45">
      <c r="A117" s="490" t="s">
        <v>77</v>
      </c>
      <c r="B117" s="491"/>
      <c r="C117" s="207"/>
      <c r="D117" s="208" t="s">
        <v>19</v>
      </c>
      <c r="E117" s="209">
        <f>COUNT(E108:E113)</f>
        <v>6</v>
      </c>
      <c r="F117" s="209">
        <f>COUNT(F108:F113)</f>
        <v>6</v>
      </c>
      <c r="G117" s="533" t="s">
        <v>19</v>
      </c>
      <c r="H117" s="534">
        <f>COUNT('amoxicillin Trihydrate'!F108:F113,F108:F113)</f>
        <v>12</v>
      </c>
      <c r="I117" s="50"/>
      <c r="J117" s="188"/>
    </row>
    <row r="118" spans="1:10" ht="19.5" customHeight="1" thickBot="1" x14ac:dyDescent="0.35">
      <c r="A118" s="492"/>
      <c r="B118" s="493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105</v>
      </c>
      <c r="B120" s="156" t="s">
        <v>122</v>
      </c>
      <c r="C120" s="494" t="str">
        <f>B20</f>
        <v>Amoxicillin &amp; Clavulanic Acid</v>
      </c>
      <c r="D120" s="494"/>
      <c r="E120" s="157" t="s">
        <v>123</v>
      </c>
      <c r="F120" s="157"/>
      <c r="G120" s="158">
        <f>F115</f>
        <v>0.99450848318335827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495" t="s">
        <v>25</v>
      </c>
      <c r="C122" s="495"/>
      <c r="E122" s="163" t="s">
        <v>26</v>
      </c>
      <c r="F122" s="212"/>
      <c r="G122" s="495" t="s">
        <v>27</v>
      </c>
      <c r="H122" s="495"/>
    </row>
    <row r="123" spans="1:10" ht="69.95" customHeight="1" x14ac:dyDescent="0.3">
      <c r="A123" s="213" t="s">
        <v>28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29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35" priority="1" operator="greaterThan">
      <formula>0.02</formula>
    </cfRule>
  </conditionalFormatting>
  <conditionalFormatting sqref="D51">
    <cfRule type="cellIs" dxfId="34" priority="2" operator="greaterThan">
      <formula>0.02</formula>
    </cfRule>
  </conditionalFormatting>
  <conditionalFormatting sqref="G73">
    <cfRule type="cellIs" dxfId="33" priority="3" operator="greaterThan">
      <formula>0.02</formula>
    </cfRule>
  </conditionalFormatting>
  <conditionalFormatting sqref="H73">
    <cfRule type="cellIs" dxfId="32" priority="4" operator="greaterThan">
      <formula>0.02</formula>
    </cfRule>
  </conditionalFormatting>
  <conditionalFormatting sqref="D104">
    <cfRule type="cellIs" dxfId="31" priority="5" operator="greaterThan">
      <formula>0.02</formula>
    </cfRule>
  </conditionalFormatting>
  <conditionalFormatting sqref="I39">
    <cfRule type="cellIs" dxfId="30" priority="6" operator="lessThanOrEqual">
      <formula>0.02</formula>
    </cfRule>
  </conditionalFormatting>
  <conditionalFormatting sqref="I39">
    <cfRule type="cellIs" dxfId="29" priority="7" operator="greaterThan">
      <formula>0.02</formula>
    </cfRule>
  </conditionalFormatting>
  <conditionalFormatting sqref="I92">
    <cfRule type="cellIs" dxfId="28" priority="8" operator="lessThanOrEqual">
      <formula>0.02</formula>
    </cfRule>
  </conditionalFormatting>
  <conditionalFormatting sqref="I92">
    <cfRule type="cellIs" dxfId="27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76" zoomScale="70" zoomScaleNormal="40" zoomScaleSheetLayoutView="70" zoomScalePageLayoutView="50" workbookViewId="0">
      <selection activeCell="H118" sqref="H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8" t="s">
        <v>44</v>
      </c>
      <c r="B1" s="488"/>
      <c r="C1" s="488"/>
      <c r="D1" s="488"/>
      <c r="E1" s="488"/>
      <c r="F1" s="488"/>
      <c r="G1" s="488"/>
      <c r="H1" s="488"/>
      <c r="I1" s="488"/>
    </row>
    <row r="2" spans="1:9" ht="18.75" customHeight="1" x14ac:dyDescent="0.25">
      <c r="A2" s="488"/>
      <c r="B2" s="488"/>
      <c r="C2" s="488"/>
      <c r="D2" s="488"/>
      <c r="E2" s="488"/>
      <c r="F2" s="488"/>
      <c r="G2" s="488"/>
      <c r="H2" s="488"/>
      <c r="I2" s="488"/>
    </row>
    <row r="3" spans="1:9" ht="18.75" customHeight="1" x14ac:dyDescent="0.25">
      <c r="A3" s="488"/>
      <c r="B3" s="488"/>
      <c r="C3" s="488"/>
      <c r="D3" s="488"/>
      <c r="E3" s="488"/>
      <c r="F3" s="488"/>
      <c r="G3" s="488"/>
      <c r="H3" s="488"/>
      <c r="I3" s="488"/>
    </row>
    <row r="4" spans="1:9" ht="18.75" customHeight="1" x14ac:dyDescent="0.25">
      <c r="A4" s="488"/>
      <c r="B4" s="488"/>
      <c r="C4" s="488"/>
      <c r="D4" s="488"/>
      <c r="E4" s="488"/>
      <c r="F4" s="488"/>
      <c r="G4" s="488"/>
      <c r="H4" s="488"/>
      <c r="I4" s="488"/>
    </row>
    <row r="5" spans="1:9" ht="18.75" customHeight="1" x14ac:dyDescent="0.25">
      <c r="A5" s="488"/>
      <c r="B5" s="488"/>
      <c r="C5" s="488"/>
      <c r="D5" s="488"/>
      <c r="E5" s="488"/>
      <c r="F5" s="488"/>
      <c r="G5" s="488"/>
      <c r="H5" s="488"/>
      <c r="I5" s="488"/>
    </row>
    <row r="6" spans="1:9" ht="18.75" customHeight="1" x14ac:dyDescent="0.25">
      <c r="A6" s="488"/>
      <c r="B6" s="488"/>
      <c r="C6" s="488"/>
      <c r="D6" s="488"/>
      <c r="E6" s="488"/>
      <c r="F6" s="488"/>
      <c r="G6" s="488"/>
      <c r="H6" s="488"/>
      <c r="I6" s="488"/>
    </row>
    <row r="7" spans="1:9" ht="18.75" customHeight="1" x14ac:dyDescent="0.25">
      <c r="A7" s="488"/>
      <c r="B7" s="488"/>
      <c r="C7" s="488"/>
      <c r="D7" s="488"/>
      <c r="E7" s="488"/>
      <c r="F7" s="488"/>
      <c r="G7" s="488"/>
      <c r="H7" s="488"/>
      <c r="I7" s="488"/>
    </row>
    <row r="8" spans="1:9" x14ac:dyDescent="0.25">
      <c r="A8" s="489" t="s">
        <v>45</v>
      </c>
      <c r="B8" s="489"/>
      <c r="C8" s="489"/>
      <c r="D8" s="489"/>
      <c r="E8" s="489"/>
      <c r="F8" s="489"/>
      <c r="G8" s="489"/>
      <c r="H8" s="489"/>
      <c r="I8" s="489"/>
    </row>
    <row r="9" spans="1:9" x14ac:dyDescent="0.25">
      <c r="A9" s="489"/>
      <c r="B9" s="489"/>
      <c r="C9" s="489"/>
      <c r="D9" s="489"/>
      <c r="E9" s="489"/>
      <c r="F9" s="489"/>
      <c r="G9" s="489"/>
      <c r="H9" s="489"/>
      <c r="I9" s="489"/>
    </row>
    <row r="10" spans="1:9" x14ac:dyDescent="0.25">
      <c r="A10" s="489"/>
      <c r="B10" s="489"/>
      <c r="C10" s="489"/>
      <c r="D10" s="489"/>
      <c r="E10" s="489"/>
      <c r="F10" s="489"/>
      <c r="G10" s="489"/>
      <c r="H10" s="489"/>
      <c r="I10" s="489"/>
    </row>
    <row r="11" spans="1:9" x14ac:dyDescent="0.25">
      <c r="A11" s="489"/>
      <c r="B11" s="489"/>
      <c r="C11" s="489"/>
      <c r="D11" s="489"/>
      <c r="E11" s="489"/>
      <c r="F11" s="489"/>
      <c r="G11" s="489"/>
      <c r="H11" s="489"/>
      <c r="I11" s="489"/>
    </row>
    <row r="12" spans="1:9" x14ac:dyDescent="0.25">
      <c r="A12" s="489"/>
      <c r="B12" s="489"/>
      <c r="C12" s="489"/>
      <c r="D12" s="489"/>
      <c r="E12" s="489"/>
      <c r="F12" s="489"/>
      <c r="G12" s="489"/>
      <c r="H12" s="489"/>
      <c r="I12" s="489"/>
    </row>
    <row r="13" spans="1:9" x14ac:dyDescent="0.25">
      <c r="A13" s="489"/>
      <c r="B13" s="489"/>
      <c r="C13" s="489"/>
      <c r="D13" s="489"/>
      <c r="E13" s="489"/>
      <c r="F13" s="489"/>
      <c r="G13" s="489"/>
      <c r="H13" s="489"/>
      <c r="I13" s="489"/>
    </row>
    <row r="14" spans="1:9" x14ac:dyDescent="0.25">
      <c r="A14" s="489"/>
      <c r="B14" s="489"/>
      <c r="C14" s="489"/>
      <c r="D14" s="489"/>
      <c r="E14" s="489"/>
      <c r="F14" s="489"/>
      <c r="G14" s="489"/>
      <c r="H14" s="489"/>
      <c r="I14" s="489"/>
    </row>
    <row r="15" spans="1:9" ht="19.5" customHeight="1" x14ac:dyDescent="0.3">
      <c r="A15" s="233"/>
    </row>
    <row r="16" spans="1:9" ht="19.5" customHeight="1" x14ac:dyDescent="0.3">
      <c r="A16" s="522" t="s">
        <v>30</v>
      </c>
      <c r="B16" s="523"/>
      <c r="C16" s="523"/>
      <c r="D16" s="523"/>
      <c r="E16" s="523"/>
      <c r="F16" s="523"/>
      <c r="G16" s="523"/>
      <c r="H16" s="524"/>
    </row>
    <row r="17" spans="1:14" ht="20.25" customHeight="1" x14ac:dyDescent="0.25">
      <c r="A17" s="525" t="s">
        <v>46</v>
      </c>
      <c r="B17" s="525"/>
      <c r="C17" s="525"/>
      <c r="D17" s="525"/>
      <c r="E17" s="525"/>
      <c r="F17" s="525"/>
      <c r="G17" s="525"/>
      <c r="H17" s="525"/>
    </row>
    <row r="18" spans="1:14" ht="26.25" customHeight="1" x14ac:dyDescent="0.4">
      <c r="A18" s="235" t="s">
        <v>32</v>
      </c>
      <c r="B18" s="521" t="s">
        <v>4</v>
      </c>
      <c r="C18" s="521"/>
      <c r="D18" s="402"/>
      <c r="E18" s="236"/>
      <c r="F18" s="237"/>
      <c r="G18" s="237"/>
      <c r="H18" s="237"/>
    </row>
    <row r="19" spans="1:14" ht="26.25" customHeight="1" x14ac:dyDescent="0.4">
      <c r="A19" s="235" t="s">
        <v>33</v>
      </c>
      <c r="B19" s="238" t="s">
        <v>6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34</v>
      </c>
      <c r="B20" s="526" t="s">
        <v>8</v>
      </c>
      <c r="C20" s="526"/>
      <c r="D20" s="237"/>
      <c r="E20" s="237"/>
      <c r="F20" s="237"/>
      <c r="G20" s="237"/>
      <c r="H20" s="237"/>
    </row>
    <row r="21" spans="1:14" ht="26.25" customHeight="1" x14ac:dyDescent="0.4">
      <c r="A21" s="235" t="s">
        <v>35</v>
      </c>
      <c r="B21" s="526" t="s">
        <v>10</v>
      </c>
      <c r="C21" s="526"/>
      <c r="D21" s="526"/>
      <c r="E21" s="526"/>
      <c r="F21" s="526"/>
      <c r="G21" s="526"/>
      <c r="H21" s="526"/>
      <c r="I21" s="239"/>
    </row>
    <row r="22" spans="1:14" ht="26.25" customHeight="1" x14ac:dyDescent="0.4">
      <c r="A22" s="235" t="s">
        <v>36</v>
      </c>
      <c r="B22" s="240" t="s">
        <v>11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37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3</v>
      </c>
      <c r="B26" s="521" t="s">
        <v>125</v>
      </c>
      <c r="C26" s="521"/>
    </row>
    <row r="27" spans="1:14" ht="26.25" customHeight="1" x14ac:dyDescent="0.4">
      <c r="A27" s="244" t="s">
        <v>47</v>
      </c>
      <c r="B27" s="519"/>
      <c r="C27" s="519"/>
    </row>
    <row r="28" spans="1:14" ht="27" customHeight="1" x14ac:dyDescent="0.4">
      <c r="A28" s="244" t="s">
        <v>5</v>
      </c>
      <c r="B28" s="245">
        <v>96.4</v>
      </c>
    </row>
    <row r="29" spans="1:14" s="3" customFormat="1" ht="27" customHeight="1" x14ac:dyDescent="0.4">
      <c r="A29" s="244" t="s">
        <v>48</v>
      </c>
      <c r="B29" s="246"/>
      <c r="C29" s="496" t="s">
        <v>49</v>
      </c>
      <c r="D29" s="497"/>
      <c r="E29" s="497"/>
      <c r="F29" s="497"/>
      <c r="G29" s="498"/>
      <c r="I29" s="247"/>
      <c r="J29" s="247"/>
      <c r="K29" s="247"/>
      <c r="L29" s="247"/>
    </row>
    <row r="30" spans="1:14" s="3" customFormat="1" ht="19.5" customHeight="1" x14ac:dyDescent="0.3">
      <c r="A30" s="244" t="s">
        <v>50</v>
      </c>
      <c r="B30" s="248">
        <f>B28-B29</f>
        <v>96.4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51</v>
      </c>
      <c r="B31" s="251">
        <v>1</v>
      </c>
      <c r="C31" s="499" t="s">
        <v>52</v>
      </c>
      <c r="D31" s="500"/>
      <c r="E31" s="500"/>
      <c r="F31" s="500"/>
      <c r="G31" s="500"/>
      <c r="H31" s="501"/>
      <c r="I31" s="247"/>
      <c r="J31" s="247"/>
      <c r="K31" s="247"/>
      <c r="L31" s="247"/>
    </row>
    <row r="32" spans="1:14" s="3" customFormat="1" ht="27" customHeight="1" x14ac:dyDescent="0.4">
      <c r="A32" s="244" t="s">
        <v>53</v>
      </c>
      <c r="B32" s="251">
        <v>1</v>
      </c>
      <c r="C32" s="499" t="s">
        <v>54</v>
      </c>
      <c r="D32" s="500"/>
      <c r="E32" s="500"/>
      <c r="F32" s="500"/>
      <c r="G32" s="500"/>
      <c r="H32" s="501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55</v>
      </c>
      <c r="B34" s="256">
        <f>B31/B32</f>
        <v>1</v>
      </c>
      <c r="C34" s="234" t="s">
        <v>56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57</v>
      </c>
      <c r="B36" s="258">
        <v>20</v>
      </c>
      <c r="C36" s="234"/>
      <c r="D36" s="502" t="s">
        <v>58</v>
      </c>
      <c r="E36" s="520"/>
      <c r="F36" s="502" t="s">
        <v>59</v>
      </c>
      <c r="G36" s="503"/>
      <c r="J36" s="247"/>
      <c r="K36" s="247"/>
      <c r="L36" s="252"/>
      <c r="M36" s="252"/>
      <c r="N36" s="253"/>
    </row>
    <row r="37" spans="1:14" s="3" customFormat="1" ht="27" customHeight="1" x14ac:dyDescent="0.4">
      <c r="A37" s="259" t="s">
        <v>60</v>
      </c>
      <c r="B37" s="260">
        <v>3</v>
      </c>
      <c r="C37" s="261" t="s">
        <v>61</v>
      </c>
      <c r="D37" s="262" t="s">
        <v>62</v>
      </c>
      <c r="E37" s="263" t="s">
        <v>63</v>
      </c>
      <c r="F37" s="262" t="s">
        <v>62</v>
      </c>
      <c r="G37" s="264" t="s">
        <v>63</v>
      </c>
      <c r="I37" s="265" t="s">
        <v>64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65</v>
      </c>
      <c r="B38" s="260">
        <v>25</v>
      </c>
      <c r="C38" s="266">
        <v>1</v>
      </c>
      <c r="D38" s="267">
        <v>18619364</v>
      </c>
      <c r="E38" s="268">
        <f>IF(ISBLANK(D38),"-",$D$48/$D$45*D38)</f>
        <v>16018687.753830025</v>
      </c>
      <c r="F38" s="267">
        <v>19696819</v>
      </c>
      <c r="G38" s="269">
        <f>IF(ISBLANK(F38),"-",$D$48/$F$45*F38)</f>
        <v>16511818.637486894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66</v>
      </c>
      <c r="B39" s="260">
        <v>1</v>
      </c>
      <c r="C39" s="271">
        <v>2</v>
      </c>
      <c r="D39" s="272">
        <v>18623821</v>
      </c>
      <c r="E39" s="273">
        <f>IF(ISBLANK(D39),"-",$D$48/$D$45*D39)</f>
        <v>16022522.218386324</v>
      </c>
      <c r="F39" s="272">
        <v>19576297</v>
      </c>
      <c r="G39" s="274">
        <f>IF(ISBLANK(F39),"-",$D$48/$F$45*F39)</f>
        <v>16410785.196207508</v>
      </c>
      <c r="I39" s="504">
        <f>ABS((F43/D43*D42)-F42)/D42</f>
        <v>2.0781591172757706E-2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67</v>
      </c>
      <c r="B40" s="260">
        <v>1</v>
      </c>
      <c r="C40" s="271">
        <v>3</v>
      </c>
      <c r="D40" s="272">
        <v>18863143</v>
      </c>
      <c r="E40" s="273">
        <f>IF(ISBLANK(D40),"-",$D$48/$D$45*D40)</f>
        <v>16228416.704933884</v>
      </c>
      <c r="F40" s="272">
        <v>19473322</v>
      </c>
      <c r="G40" s="274">
        <f>IF(ISBLANK(F40),"-",$D$48/$F$45*F40)</f>
        <v>16324461.382997101</v>
      </c>
      <c r="I40" s="504"/>
      <c r="L40" s="252"/>
      <c r="M40" s="252"/>
      <c r="N40" s="275"/>
    </row>
    <row r="41" spans="1:14" ht="27" customHeight="1" x14ac:dyDescent="0.4">
      <c r="A41" s="259" t="s">
        <v>68</v>
      </c>
      <c r="B41" s="260">
        <v>1</v>
      </c>
      <c r="C41" s="276">
        <v>4</v>
      </c>
      <c r="D41" s="277"/>
      <c r="E41" s="278" t="str">
        <f>IF(ISBLANK(D41),"-",$D$48/$D$45*D41)</f>
        <v>-</v>
      </c>
      <c r="F41" s="27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x14ac:dyDescent="0.4">
      <c r="A42" s="259" t="s">
        <v>69</v>
      </c>
      <c r="B42" s="260">
        <v>1</v>
      </c>
      <c r="C42" s="281" t="s">
        <v>70</v>
      </c>
      <c r="D42" s="282">
        <f>AVERAGE(D38:D41)</f>
        <v>18702109.333333332</v>
      </c>
      <c r="E42" s="283">
        <f>AVERAGE(E38:E41)</f>
        <v>16089875.559050078</v>
      </c>
      <c r="F42" s="282">
        <f>AVERAGE(F38:F41)</f>
        <v>19582146</v>
      </c>
      <c r="G42" s="284">
        <f>AVERAGE(G38:G41)</f>
        <v>16415688.405563833</v>
      </c>
      <c r="H42" s="285"/>
    </row>
    <row r="43" spans="1:14" ht="26.25" customHeight="1" x14ac:dyDescent="0.4">
      <c r="A43" s="259" t="s">
        <v>71</v>
      </c>
      <c r="B43" s="260">
        <v>1</v>
      </c>
      <c r="C43" s="286" t="s">
        <v>72</v>
      </c>
      <c r="D43" s="287">
        <v>25.12</v>
      </c>
      <c r="E43" s="275"/>
      <c r="F43" s="287">
        <v>25.78</v>
      </c>
      <c r="H43" s="285"/>
    </row>
    <row r="44" spans="1:14" ht="26.25" customHeight="1" x14ac:dyDescent="0.4">
      <c r="A44" s="259" t="s">
        <v>73</v>
      </c>
      <c r="B44" s="260">
        <v>1</v>
      </c>
      <c r="C44" s="288" t="s">
        <v>74</v>
      </c>
      <c r="D44" s="289">
        <f>D43*$B$34</f>
        <v>25.12</v>
      </c>
      <c r="E44" s="290"/>
      <c r="F44" s="289">
        <f>F43*$B$34</f>
        <v>25.78</v>
      </c>
      <c r="H44" s="285"/>
    </row>
    <row r="45" spans="1:14" ht="19.5" customHeight="1" x14ac:dyDescent="0.3">
      <c r="A45" s="259" t="s">
        <v>75</v>
      </c>
      <c r="B45" s="291">
        <f>(B44/B43)*(B42/B41)*(B40/B39)*(B38/B37)*B36</f>
        <v>166.66666666666669</v>
      </c>
      <c r="C45" s="288" t="s">
        <v>76</v>
      </c>
      <c r="D45" s="292">
        <f>D44*$B$30/100</f>
        <v>24.215680000000003</v>
      </c>
      <c r="E45" s="293"/>
      <c r="F45" s="292">
        <f>F44*$B$30/100</f>
        <v>24.851920000000003</v>
      </c>
      <c r="H45" s="285"/>
    </row>
    <row r="46" spans="1:14" ht="19.5" customHeight="1" x14ac:dyDescent="0.3">
      <c r="A46" s="490" t="s">
        <v>77</v>
      </c>
      <c r="B46" s="491"/>
      <c r="C46" s="288" t="s">
        <v>78</v>
      </c>
      <c r="D46" s="294">
        <f>D45/$B$45</f>
        <v>0.14529407999999999</v>
      </c>
      <c r="E46" s="295"/>
      <c r="F46" s="296">
        <f>F45/$B$45</f>
        <v>0.14911152</v>
      </c>
      <c r="H46" s="285"/>
    </row>
    <row r="47" spans="1:14" ht="27" customHeight="1" x14ac:dyDescent="0.4">
      <c r="A47" s="492"/>
      <c r="B47" s="493"/>
      <c r="C47" s="297" t="s">
        <v>79</v>
      </c>
      <c r="D47" s="298">
        <v>0.125</v>
      </c>
      <c r="E47" s="299"/>
      <c r="F47" s="295"/>
      <c r="H47" s="285"/>
    </row>
    <row r="48" spans="1:14" ht="18.75" x14ac:dyDescent="0.3">
      <c r="C48" s="300" t="s">
        <v>80</v>
      </c>
      <c r="D48" s="292">
        <f>D47*$B$45</f>
        <v>20.833333333333336</v>
      </c>
      <c r="F48" s="301"/>
      <c r="H48" s="285"/>
    </row>
    <row r="49" spans="1:12" ht="19.5" customHeight="1" x14ac:dyDescent="0.3">
      <c r="C49" s="302" t="s">
        <v>81</v>
      </c>
      <c r="D49" s="303">
        <f>D48/B34</f>
        <v>20.833333333333336</v>
      </c>
      <c r="F49" s="301"/>
      <c r="H49" s="285"/>
    </row>
    <row r="50" spans="1:12" ht="18.75" x14ac:dyDescent="0.3">
      <c r="C50" s="257" t="s">
        <v>82</v>
      </c>
      <c r="D50" s="304">
        <f>AVERAGE(E38:E41,G38:G41)</f>
        <v>16252781.982306955</v>
      </c>
      <c r="F50" s="305"/>
      <c r="H50" s="285"/>
    </row>
    <row r="51" spans="1:12" ht="18.75" x14ac:dyDescent="0.3">
      <c r="C51" s="259" t="s">
        <v>83</v>
      </c>
      <c r="D51" s="306">
        <f>STDEV(E38:E41,G38:G41)/D50</f>
        <v>1.247716823439881E-2</v>
      </c>
      <c r="F51" s="305"/>
      <c r="H51" s="285"/>
    </row>
    <row r="52" spans="1:12" ht="19.5" customHeight="1" x14ac:dyDescent="0.3">
      <c r="C52" s="307" t="s">
        <v>19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84</v>
      </c>
    </row>
    <row r="55" spans="1:12" ht="18.75" x14ac:dyDescent="0.3">
      <c r="A55" s="234" t="s">
        <v>85</v>
      </c>
      <c r="B55" s="311" t="str">
        <f>B21</f>
        <v>Each film coate tablet contains: Amoxicillin Trihydrate BP Eq. to Amoxicillin 250mg (as Potassium Clavulanate Diluted BP) Eq. to Clavulanic acid 125mg</v>
      </c>
    </row>
    <row r="56" spans="1:12" ht="26.25" customHeight="1" x14ac:dyDescent="0.4">
      <c r="A56" s="312" t="s">
        <v>86</v>
      </c>
      <c r="B56" s="313">
        <v>125</v>
      </c>
      <c r="C56" s="234" t="str">
        <f>B20</f>
        <v>Amoxicillin &amp; Clavulanic Acid</v>
      </c>
      <c r="H56" s="314"/>
    </row>
    <row r="57" spans="1:12" ht="18.75" x14ac:dyDescent="0.3">
      <c r="A57" s="311" t="s">
        <v>87</v>
      </c>
      <c r="B57" s="403">
        <f>Uniformity!C46</f>
        <v>705.48599999999988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88</v>
      </c>
      <c r="B59" s="258">
        <v>100</v>
      </c>
      <c r="C59" s="234"/>
      <c r="D59" s="315" t="s">
        <v>89</v>
      </c>
      <c r="E59" s="316" t="s">
        <v>61</v>
      </c>
      <c r="F59" s="316" t="s">
        <v>62</v>
      </c>
      <c r="G59" s="316" t="s">
        <v>90</v>
      </c>
      <c r="H59" s="261" t="s">
        <v>91</v>
      </c>
      <c r="L59" s="247"/>
    </row>
    <row r="60" spans="1:12" s="3" customFormat="1" ht="26.25" customHeight="1" x14ac:dyDescent="0.4">
      <c r="A60" s="259" t="s">
        <v>92</v>
      </c>
      <c r="B60" s="260">
        <v>1</v>
      </c>
      <c r="C60" s="507" t="s">
        <v>93</v>
      </c>
      <c r="D60" s="510">
        <v>129.33000000000001</v>
      </c>
      <c r="E60" s="317">
        <v>1</v>
      </c>
      <c r="F60" s="318">
        <v>35338183</v>
      </c>
      <c r="G60" s="404">
        <f>IF(ISBLANK(F60),"-",(F60/$D$50*$D$47*$B$68)*($B$57/$D$60))</f>
        <v>148.25714785708936</v>
      </c>
      <c r="H60" s="319">
        <f t="shared" ref="H60:H71" si="0">IF(ISBLANK(F60),"-",G60/$B$56)</f>
        <v>1.186057182856715</v>
      </c>
      <c r="L60" s="247"/>
    </row>
    <row r="61" spans="1:12" s="3" customFormat="1" ht="26.25" customHeight="1" x14ac:dyDescent="0.4">
      <c r="A61" s="259" t="s">
        <v>94</v>
      </c>
      <c r="B61" s="260">
        <v>1</v>
      </c>
      <c r="C61" s="508"/>
      <c r="D61" s="511"/>
      <c r="E61" s="320">
        <v>2</v>
      </c>
      <c r="F61" s="272">
        <v>34126758</v>
      </c>
      <c r="G61" s="405">
        <f>IF(ISBLANK(F61),"-",(F61/$D$50*$D$47*$B$68)*($B$57/$D$60))</f>
        <v>143.17475821235936</v>
      </c>
      <c r="H61" s="321">
        <f t="shared" si="0"/>
        <v>1.1453980656988749</v>
      </c>
      <c r="L61" s="247"/>
    </row>
    <row r="62" spans="1:12" s="3" customFormat="1" ht="26.25" customHeight="1" x14ac:dyDescent="0.4">
      <c r="A62" s="259" t="s">
        <v>95</v>
      </c>
      <c r="B62" s="260">
        <v>1</v>
      </c>
      <c r="C62" s="508"/>
      <c r="D62" s="511"/>
      <c r="E62" s="320">
        <v>3</v>
      </c>
      <c r="F62" s="322">
        <v>34963688</v>
      </c>
      <c r="G62" s="405">
        <f>IF(ISBLANK(F62),"-",(F62/$D$50*$D$47*$B$68)*($B$57/$D$60))</f>
        <v>146.68599858247217</v>
      </c>
      <c r="H62" s="321">
        <f t="shared" si="0"/>
        <v>1.1734879886597773</v>
      </c>
      <c r="L62" s="247"/>
    </row>
    <row r="63" spans="1:12" ht="27" customHeight="1" x14ac:dyDescent="0.4">
      <c r="A63" s="259" t="s">
        <v>96</v>
      </c>
      <c r="B63" s="260">
        <v>1</v>
      </c>
      <c r="C63" s="518"/>
      <c r="D63" s="512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97</v>
      </c>
      <c r="B64" s="260">
        <v>1</v>
      </c>
      <c r="C64" s="507" t="s">
        <v>98</v>
      </c>
      <c r="D64" s="510">
        <v>140.02000000000001</v>
      </c>
      <c r="E64" s="317">
        <v>1</v>
      </c>
      <c r="F64" s="318">
        <v>37147220</v>
      </c>
      <c r="G64" s="406">
        <f>IF(ISBLANK(F64),"-",(F64/$D$50*$D$47*$B$68)*($B$57/$D$64))</f>
        <v>143.94843502460114</v>
      </c>
      <c r="H64" s="325">
        <f t="shared" si="0"/>
        <v>1.1515874801968091</v>
      </c>
    </row>
    <row r="65" spans="1:8" ht="26.25" customHeight="1" x14ac:dyDescent="0.4">
      <c r="A65" s="259" t="s">
        <v>99</v>
      </c>
      <c r="B65" s="260">
        <v>1</v>
      </c>
      <c r="C65" s="508"/>
      <c r="D65" s="511"/>
      <c r="E65" s="320">
        <v>2</v>
      </c>
      <c r="F65" s="272">
        <v>37144240</v>
      </c>
      <c r="G65" s="407">
        <f>IF(ISBLANK(F65),"-",(F65/$D$50*$D$47*$B$68)*($B$57/$D$64))</f>
        <v>143.93688728734452</v>
      </c>
      <c r="H65" s="326">
        <f t="shared" si="0"/>
        <v>1.1514950982987562</v>
      </c>
    </row>
    <row r="66" spans="1:8" ht="26.25" customHeight="1" x14ac:dyDescent="0.4">
      <c r="A66" s="259" t="s">
        <v>100</v>
      </c>
      <c r="B66" s="260">
        <v>1</v>
      </c>
      <c r="C66" s="508"/>
      <c r="D66" s="511"/>
      <c r="E66" s="320">
        <v>3</v>
      </c>
      <c r="F66" s="272">
        <v>36314310</v>
      </c>
      <c r="G66" s="407">
        <f>IF(ISBLANK(F66),"-",(F66/$D$50*$D$47*$B$68)*($B$57/$D$64))</f>
        <v>140.72084246137999</v>
      </c>
      <c r="H66" s="326">
        <f t="shared" si="0"/>
        <v>1.1257667396910398</v>
      </c>
    </row>
    <row r="67" spans="1:8" ht="27" customHeight="1" x14ac:dyDescent="0.4">
      <c r="A67" s="259" t="s">
        <v>101</v>
      </c>
      <c r="B67" s="260">
        <v>1</v>
      </c>
      <c r="C67" s="518"/>
      <c r="D67" s="512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102</v>
      </c>
      <c r="B68" s="328">
        <f>(B67/B66)*(B65/B64)*(B63/B62)*(B61/B60)*B59</f>
        <v>100</v>
      </c>
      <c r="C68" s="507" t="s">
        <v>103</v>
      </c>
      <c r="D68" s="510">
        <v>145.59</v>
      </c>
      <c r="E68" s="317">
        <v>1</v>
      </c>
      <c r="F68" s="318">
        <v>38248886</v>
      </c>
      <c r="G68" s="406">
        <f>IF(ISBLANK(F68),"-",(F68/$D$50*$D$47*$B$68)*($B$57/$D$68))</f>
        <v>142.54695609241972</v>
      </c>
      <c r="H68" s="321">
        <f t="shared" si="0"/>
        <v>1.1403756487393577</v>
      </c>
    </row>
    <row r="69" spans="1:8" ht="27" customHeight="1" x14ac:dyDescent="0.4">
      <c r="A69" s="307" t="s">
        <v>104</v>
      </c>
      <c r="B69" s="329">
        <f>(D47*B68)/B56*B57</f>
        <v>70.548599999999993</v>
      </c>
      <c r="C69" s="508"/>
      <c r="D69" s="511"/>
      <c r="E69" s="320">
        <v>2</v>
      </c>
      <c r="F69" s="272">
        <v>37970400</v>
      </c>
      <c r="G69" s="407">
        <f>IF(ISBLANK(F69),"-",(F69/$D$50*$D$47*$B$68)*($B$57/$D$68))</f>
        <v>141.50908713031836</v>
      </c>
      <c r="H69" s="321">
        <f t="shared" si="0"/>
        <v>1.132072697042547</v>
      </c>
    </row>
    <row r="70" spans="1:8" ht="26.25" customHeight="1" x14ac:dyDescent="0.4">
      <c r="A70" s="513" t="s">
        <v>77</v>
      </c>
      <c r="B70" s="514"/>
      <c r="C70" s="508"/>
      <c r="D70" s="511"/>
      <c r="E70" s="320">
        <v>3</v>
      </c>
      <c r="F70" s="272">
        <v>38409737</v>
      </c>
      <c r="G70" s="407">
        <f>IF(ISBLANK(F70),"-",(F70/$D$50*$D$47*$B$68)*($B$57/$D$68))</f>
        <v>143.14641983717877</v>
      </c>
      <c r="H70" s="321">
        <f t="shared" si="0"/>
        <v>1.1451713586974301</v>
      </c>
    </row>
    <row r="71" spans="1:8" ht="27" customHeight="1" x14ac:dyDescent="0.4">
      <c r="A71" s="515"/>
      <c r="B71" s="516"/>
      <c r="C71" s="509"/>
      <c r="D71" s="512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70</v>
      </c>
      <c r="G72" s="413">
        <f>AVERAGE(G60:G71)</f>
        <v>143.76961472057371</v>
      </c>
      <c r="H72" s="334">
        <f>AVERAGE(H60:H71)</f>
        <v>1.1501569177645896</v>
      </c>
    </row>
    <row r="73" spans="1:8" ht="26.25" customHeight="1" x14ac:dyDescent="0.4">
      <c r="C73" s="331"/>
      <c r="D73" s="331"/>
      <c r="E73" s="331"/>
      <c r="F73" s="335" t="s">
        <v>83</v>
      </c>
      <c r="G73" s="409">
        <f>STDEV(G60:G71)/G72</f>
        <v>1.6559764130931697E-2</v>
      </c>
      <c r="H73" s="409">
        <f>STDEV(H60:H71)/H72</f>
        <v>1.6559764130931728E-2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19</v>
      </c>
      <c r="G74" s="338">
        <f>COUNT(G60:G71)</f>
        <v>9</v>
      </c>
      <c r="H74" s="338">
        <f>COUNT(H60:H71)</f>
        <v>9</v>
      </c>
    </row>
    <row r="76" spans="1:8" ht="26.25" customHeight="1" x14ac:dyDescent="0.4">
      <c r="A76" s="243" t="s">
        <v>105</v>
      </c>
      <c r="B76" s="339" t="s">
        <v>106</v>
      </c>
      <c r="C76" s="494" t="str">
        <f>B20</f>
        <v>Amoxicillin &amp; Clavulanic Acid</v>
      </c>
      <c r="D76" s="494"/>
      <c r="E76" s="340" t="s">
        <v>107</v>
      </c>
      <c r="F76" s="340"/>
      <c r="G76" s="341">
        <f>H72</f>
        <v>1.1501569177645896</v>
      </c>
      <c r="H76" s="342"/>
    </row>
    <row r="77" spans="1:8" ht="18.75" x14ac:dyDescent="0.3">
      <c r="A77" s="242" t="s">
        <v>108</v>
      </c>
      <c r="B77" s="242" t="s">
        <v>109</v>
      </c>
    </row>
    <row r="78" spans="1:8" ht="18.75" x14ac:dyDescent="0.3">
      <c r="A78" s="242"/>
      <c r="B78" s="242"/>
    </row>
    <row r="79" spans="1:8" ht="26.25" customHeight="1" x14ac:dyDescent="0.4">
      <c r="A79" s="243" t="s">
        <v>3</v>
      </c>
      <c r="B79" s="517" t="str">
        <f>B26</f>
        <v>CLAVULANIC</v>
      </c>
      <c r="C79" s="517"/>
    </row>
    <row r="80" spans="1:8" ht="26.25" customHeight="1" x14ac:dyDescent="0.4">
      <c r="A80" s="244" t="s">
        <v>47</v>
      </c>
      <c r="B80" s="517">
        <f>B27</f>
        <v>0</v>
      </c>
      <c r="C80" s="517"/>
    </row>
    <row r="81" spans="1:12" ht="27" customHeight="1" x14ac:dyDescent="0.4">
      <c r="A81" s="244" t="s">
        <v>5</v>
      </c>
      <c r="B81" s="343">
        <v>96.4</v>
      </c>
    </row>
    <row r="82" spans="1:12" s="3" customFormat="1" ht="27" customHeight="1" x14ac:dyDescent="0.4">
      <c r="A82" s="244" t="s">
        <v>48</v>
      </c>
      <c r="B82" s="246">
        <v>0</v>
      </c>
      <c r="C82" s="496" t="s">
        <v>49</v>
      </c>
      <c r="D82" s="497"/>
      <c r="E82" s="497"/>
      <c r="F82" s="497"/>
      <c r="G82" s="498"/>
      <c r="I82" s="247"/>
      <c r="J82" s="247"/>
      <c r="K82" s="247"/>
      <c r="L82" s="247"/>
    </row>
    <row r="83" spans="1:12" s="3" customFormat="1" ht="19.5" customHeight="1" x14ac:dyDescent="0.3">
      <c r="A83" s="244" t="s">
        <v>50</v>
      </c>
      <c r="B83" s="248">
        <f>B81-B82</f>
        <v>96.4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51</v>
      </c>
      <c r="B84" s="251">
        <v>1</v>
      </c>
      <c r="C84" s="499" t="s">
        <v>110</v>
      </c>
      <c r="D84" s="500"/>
      <c r="E84" s="500"/>
      <c r="F84" s="500"/>
      <c r="G84" s="500"/>
      <c r="H84" s="501"/>
      <c r="I84" s="247"/>
      <c r="J84" s="247"/>
      <c r="K84" s="247"/>
      <c r="L84" s="247"/>
    </row>
    <row r="85" spans="1:12" s="3" customFormat="1" ht="27" customHeight="1" x14ac:dyDescent="0.4">
      <c r="A85" s="244" t="s">
        <v>53</v>
      </c>
      <c r="B85" s="251">
        <v>1</v>
      </c>
      <c r="C85" s="499" t="s">
        <v>111</v>
      </c>
      <c r="D85" s="500"/>
      <c r="E85" s="500"/>
      <c r="F85" s="500"/>
      <c r="G85" s="500"/>
      <c r="H85" s="501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55</v>
      </c>
      <c r="B87" s="256">
        <f>B84/B85</f>
        <v>1</v>
      </c>
      <c r="C87" s="234" t="s">
        <v>56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57</v>
      </c>
      <c r="B89" s="258">
        <v>10</v>
      </c>
      <c r="D89" s="344" t="s">
        <v>58</v>
      </c>
      <c r="E89" s="345"/>
      <c r="F89" s="502" t="s">
        <v>59</v>
      </c>
      <c r="G89" s="503"/>
    </row>
    <row r="90" spans="1:12" ht="27" customHeight="1" x14ac:dyDescent="0.4">
      <c r="A90" s="259" t="s">
        <v>60</v>
      </c>
      <c r="B90" s="260">
        <v>3</v>
      </c>
      <c r="C90" s="346" t="s">
        <v>61</v>
      </c>
      <c r="D90" s="262" t="s">
        <v>62</v>
      </c>
      <c r="E90" s="263" t="s">
        <v>63</v>
      </c>
      <c r="F90" s="262" t="s">
        <v>62</v>
      </c>
      <c r="G90" s="347" t="s">
        <v>63</v>
      </c>
      <c r="I90" s="265" t="s">
        <v>64</v>
      </c>
    </row>
    <row r="91" spans="1:12" ht="26.25" customHeight="1" x14ac:dyDescent="0.4">
      <c r="A91" s="259" t="s">
        <v>65</v>
      </c>
      <c r="B91" s="260">
        <v>20</v>
      </c>
      <c r="C91" s="348">
        <v>1</v>
      </c>
      <c r="D91" s="267">
        <v>43817558</v>
      </c>
      <c r="E91" s="268">
        <f>IF(ISBLANK(D91),"-",$D$101/$D$98*D91)</f>
        <v>40940605.941282034</v>
      </c>
      <c r="F91" s="267">
        <v>52879820</v>
      </c>
      <c r="G91" s="269">
        <f>IF(ISBLANK(F91),"-",$D$101/$F$98*F91)</f>
        <v>41260180.718958288</v>
      </c>
      <c r="I91" s="270"/>
    </row>
    <row r="92" spans="1:12" ht="26.25" customHeight="1" x14ac:dyDescent="0.4">
      <c r="A92" s="259" t="s">
        <v>66</v>
      </c>
      <c r="B92" s="260">
        <v>1</v>
      </c>
      <c r="C92" s="332">
        <v>2</v>
      </c>
      <c r="D92" s="272">
        <v>43839853</v>
      </c>
      <c r="E92" s="273">
        <f>IF(ISBLANK(D92),"-",$D$101/$D$98*D92)</f>
        <v>40961437.106940806</v>
      </c>
      <c r="F92" s="272">
        <v>52992982</v>
      </c>
      <c r="G92" s="274">
        <f>IF(ISBLANK(F92),"-",$D$101/$F$98*F92)</f>
        <v>41348476.869938351</v>
      </c>
      <c r="I92" s="504">
        <f>ABS((F96/D96*D95)-F95)/D95</f>
        <v>1.2575925159297051E-2</v>
      </c>
    </row>
    <row r="93" spans="1:12" ht="26.25" customHeight="1" x14ac:dyDescent="0.4">
      <c r="A93" s="259" t="s">
        <v>67</v>
      </c>
      <c r="B93" s="260">
        <v>1</v>
      </c>
      <c r="C93" s="332">
        <v>3</v>
      </c>
      <c r="D93" s="272">
        <v>43772635</v>
      </c>
      <c r="E93" s="273">
        <f>IF(ISBLANK(D93),"-",$D$101/$D$98*D93)</f>
        <v>40898632.473917648</v>
      </c>
      <c r="F93" s="272">
        <v>53163697</v>
      </c>
      <c r="G93" s="274">
        <f>IF(ISBLANK(F93),"-",$D$101/$F$98*F93)</f>
        <v>41481679.512296759</v>
      </c>
      <c r="I93" s="504"/>
    </row>
    <row r="94" spans="1:12" ht="27" customHeight="1" x14ac:dyDescent="0.4">
      <c r="A94" s="259" t="s">
        <v>68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69</v>
      </c>
      <c r="B95" s="260">
        <v>1</v>
      </c>
      <c r="C95" s="351" t="s">
        <v>70</v>
      </c>
      <c r="D95" s="352">
        <f>AVERAGE(D91:D94)</f>
        <v>43810015.333333336</v>
      </c>
      <c r="E95" s="283">
        <f>AVERAGE(E91:E94)</f>
        <v>40933558.507380165</v>
      </c>
      <c r="F95" s="353">
        <f>AVERAGE(F91:F94)</f>
        <v>53012166.333333336</v>
      </c>
      <c r="G95" s="354">
        <f>AVERAGE(G91:G94)</f>
        <v>41363445.700397797</v>
      </c>
    </row>
    <row r="96" spans="1:12" ht="26.25" customHeight="1" x14ac:dyDescent="0.4">
      <c r="A96" s="259" t="s">
        <v>71</v>
      </c>
      <c r="B96" s="245">
        <v>1</v>
      </c>
      <c r="C96" s="355" t="s">
        <v>112</v>
      </c>
      <c r="D96" s="356">
        <v>10.28</v>
      </c>
      <c r="E96" s="275"/>
      <c r="F96" s="287">
        <v>12.31</v>
      </c>
    </row>
    <row r="97" spans="1:10" ht="26.25" customHeight="1" x14ac:dyDescent="0.4">
      <c r="A97" s="259" t="s">
        <v>73</v>
      </c>
      <c r="B97" s="245">
        <v>1</v>
      </c>
      <c r="C97" s="357" t="s">
        <v>113</v>
      </c>
      <c r="D97" s="358">
        <f>D96*$B$87</f>
        <v>10.28</v>
      </c>
      <c r="E97" s="290"/>
      <c r="F97" s="289">
        <f>F96*$B$87</f>
        <v>12.31</v>
      </c>
    </row>
    <row r="98" spans="1:10" ht="19.5" customHeight="1" x14ac:dyDescent="0.3">
      <c r="A98" s="259" t="s">
        <v>75</v>
      </c>
      <c r="B98" s="359">
        <f>(B97/B96)*(B95/B94)*(B93/B92)*(B91/B90)*B89</f>
        <v>66.666666666666671</v>
      </c>
      <c r="C98" s="357" t="s">
        <v>114</v>
      </c>
      <c r="D98" s="360">
        <f>D97*$B$83/100</f>
        <v>9.9099199999999996</v>
      </c>
      <c r="E98" s="293"/>
      <c r="F98" s="292">
        <f>F97*$B$83/100</f>
        <v>11.866840000000002</v>
      </c>
    </row>
    <row r="99" spans="1:10" ht="19.5" customHeight="1" x14ac:dyDescent="0.3">
      <c r="A99" s="490" t="s">
        <v>77</v>
      </c>
      <c r="B99" s="505"/>
      <c r="C99" s="357" t="s">
        <v>115</v>
      </c>
      <c r="D99" s="361">
        <f>D98/$B$98</f>
        <v>0.14864879999999997</v>
      </c>
      <c r="E99" s="293"/>
      <c r="F99" s="296">
        <f>F98/$B$98</f>
        <v>0.17800260000000001</v>
      </c>
      <c r="G99" s="362"/>
      <c r="H99" s="285"/>
    </row>
    <row r="100" spans="1:10" ht="19.5" customHeight="1" x14ac:dyDescent="0.3">
      <c r="A100" s="492"/>
      <c r="B100" s="506"/>
      <c r="C100" s="357" t="s">
        <v>79</v>
      </c>
      <c r="D100" s="363">
        <f>$B$56/$B$116</f>
        <v>0.1388888888888889</v>
      </c>
      <c r="F100" s="301"/>
      <c r="G100" s="364"/>
      <c r="H100" s="285"/>
    </row>
    <row r="101" spans="1:10" ht="18.75" x14ac:dyDescent="0.3">
      <c r="C101" s="357" t="s">
        <v>80</v>
      </c>
      <c r="D101" s="358">
        <f>D100*$B$98</f>
        <v>9.2592592592592595</v>
      </c>
      <c r="F101" s="301"/>
      <c r="G101" s="362"/>
      <c r="H101" s="285"/>
    </row>
    <row r="102" spans="1:10" ht="19.5" customHeight="1" x14ac:dyDescent="0.3">
      <c r="C102" s="365" t="s">
        <v>81</v>
      </c>
      <c r="D102" s="366">
        <f>D101/B34</f>
        <v>9.2592592592592595</v>
      </c>
      <c r="F102" s="305"/>
      <c r="G102" s="362"/>
      <c r="H102" s="285"/>
      <c r="J102" s="367"/>
    </row>
    <row r="103" spans="1:10" ht="18.75" x14ac:dyDescent="0.3">
      <c r="C103" s="368" t="s">
        <v>116</v>
      </c>
      <c r="D103" s="369">
        <f>AVERAGE(E91:E94,G91:G94)</f>
        <v>41148502.103888981</v>
      </c>
      <c r="F103" s="305"/>
      <c r="G103" s="370"/>
      <c r="H103" s="285"/>
      <c r="J103" s="371"/>
    </row>
    <row r="104" spans="1:10" ht="18.75" x14ac:dyDescent="0.3">
      <c r="C104" s="335" t="s">
        <v>83</v>
      </c>
      <c r="D104" s="372">
        <f>STDEV(E91:E94,G91:G94)/D103</f>
        <v>5.9935226101404376E-3</v>
      </c>
      <c r="F104" s="305"/>
      <c r="G104" s="362"/>
      <c r="H104" s="285"/>
      <c r="J104" s="371"/>
    </row>
    <row r="105" spans="1:10" ht="19.5" customHeight="1" x14ac:dyDescent="0.3">
      <c r="C105" s="337" t="s">
        <v>19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117</v>
      </c>
      <c r="B107" s="258">
        <v>900</v>
      </c>
      <c r="C107" s="374" t="s">
        <v>118</v>
      </c>
      <c r="D107" s="375" t="s">
        <v>62</v>
      </c>
      <c r="E107" s="376" t="s">
        <v>119</v>
      </c>
      <c r="F107" s="377" t="s">
        <v>120</v>
      </c>
    </row>
    <row r="108" spans="1:10" ht="26.25" customHeight="1" x14ac:dyDescent="0.4">
      <c r="A108" s="259" t="s">
        <v>121</v>
      </c>
      <c r="B108" s="260">
        <v>1</v>
      </c>
      <c r="C108" s="378">
        <v>1</v>
      </c>
      <c r="D108" s="379">
        <v>41864678</v>
      </c>
      <c r="E108" s="410">
        <f t="shared" ref="E108:E113" si="1">IF(ISBLANK(D108),"-",D108/$D$103*$D$100*$B$116)</f>
        <v>127.17558313028887</v>
      </c>
      <c r="F108" s="380">
        <f t="shared" ref="F108:F113" si="2">IF(ISBLANK(D108), "-", E108/$B$56)</f>
        <v>1.017404665042311</v>
      </c>
    </row>
    <row r="109" spans="1:10" ht="26.25" customHeight="1" x14ac:dyDescent="0.4">
      <c r="A109" s="259" t="s">
        <v>94</v>
      </c>
      <c r="B109" s="260">
        <v>1</v>
      </c>
      <c r="C109" s="378">
        <v>2</v>
      </c>
      <c r="D109" s="379">
        <v>42586923</v>
      </c>
      <c r="E109" s="411">
        <f t="shared" si="1"/>
        <v>129.36960284872396</v>
      </c>
      <c r="F109" s="381">
        <f t="shared" si="2"/>
        <v>1.0349568227897916</v>
      </c>
    </row>
    <row r="110" spans="1:10" ht="26.25" customHeight="1" x14ac:dyDescent="0.4">
      <c r="A110" s="259" t="s">
        <v>95</v>
      </c>
      <c r="B110" s="260">
        <v>1</v>
      </c>
      <c r="C110" s="378">
        <v>3</v>
      </c>
      <c r="D110" s="379">
        <v>42138032</v>
      </c>
      <c r="E110" s="411">
        <f t="shared" si="1"/>
        <v>128.0059718018797</v>
      </c>
      <c r="F110" s="381">
        <f t="shared" si="2"/>
        <v>1.0240477744150376</v>
      </c>
    </row>
    <row r="111" spans="1:10" ht="26.25" customHeight="1" x14ac:dyDescent="0.4">
      <c r="A111" s="259" t="s">
        <v>96</v>
      </c>
      <c r="B111" s="260">
        <v>1</v>
      </c>
      <c r="C111" s="378">
        <v>4</v>
      </c>
      <c r="D111" s="379">
        <v>42714110</v>
      </c>
      <c r="E111" s="411">
        <f t="shared" si="1"/>
        <v>129.75596867462599</v>
      </c>
      <c r="F111" s="381">
        <f t="shared" si="2"/>
        <v>1.0380477493970079</v>
      </c>
    </row>
    <row r="112" spans="1:10" ht="26.25" customHeight="1" x14ac:dyDescent="0.4">
      <c r="A112" s="259" t="s">
        <v>97</v>
      </c>
      <c r="B112" s="260">
        <v>1</v>
      </c>
      <c r="C112" s="378">
        <v>5</v>
      </c>
      <c r="D112" s="379">
        <v>41256482</v>
      </c>
      <c r="E112" s="411">
        <f t="shared" si="1"/>
        <v>125.3280189149972</v>
      </c>
      <c r="F112" s="381">
        <f t="shared" si="2"/>
        <v>1.0026241513199776</v>
      </c>
    </row>
    <row r="113" spans="1:10" ht="26.25" customHeight="1" x14ac:dyDescent="0.4">
      <c r="A113" s="259" t="s">
        <v>99</v>
      </c>
      <c r="B113" s="260">
        <v>1</v>
      </c>
      <c r="C113" s="382">
        <v>6</v>
      </c>
      <c r="D113" s="383">
        <v>40570506</v>
      </c>
      <c r="E113" s="412">
        <f t="shared" si="1"/>
        <v>123.24417635413042</v>
      </c>
      <c r="F113" s="384">
        <f t="shared" si="2"/>
        <v>0.98595341083304333</v>
      </c>
    </row>
    <row r="114" spans="1:10" ht="26.25" customHeight="1" x14ac:dyDescent="0.4">
      <c r="A114" s="259" t="s">
        <v>100</v>
      </c>
      <c r="B114" s="260">
        <v>1</v>
      </c>
      <c r="C114" s="378"/>
      <c r="D114" s="332"/>
      <c r="E114" s="233"/>
      <c r="F114" s="385"/>
      <c r="G114" s="527"/>
      <c r="H114" s="528" t="s">
        <v>132</v>
      </c>
    </row>
    <row r="115" spans="1:10" ht="26.25" customHeight="1" x14ac:dyDescent="0.4">
      <c r="A115" s="259" t="s">
        <v>101</v>
      </c>
      <c r="B115" s="260">
        <v>1</v>
      </c>
      <c r="C115" s="378"/>
      <c r="D115" s="386" t="s">
        <v>70</v>
      </c>
      <c r="E115" s="414">
        <f>AVERAGE(E108:E113)</f>
        <v>127.14655362077436</v>
      </c>
      <c r="F115" s="387">
        <f>AVERAGE(F108:F113)</f>
        <v>1.017172428966195</v>
      </c>
      <c r="G115" s="529" t="s">
        <v>70</v>
      </c>
      <c r="H115" s="530">
        <f>AVERAGE('Clavulanic acid'!F108:F113,F108:F113)</f>
        <v>0.95296055546246317</v>
      </c>
    </row>
    <row r="116" spans="1:10" ht="27" customHeight="1" thickBot="1" x14ac:dyDescent="0.45">
      <c r="A116" s="259" t="s">
        <v>102</v>
      </c>
      <c r="B116" s="291">
        <f>(B115/B114)*(B113/B112)*(B111/B110)*(B109/B108)*B107</f>
        <v>900</v>
      </c>
      <c r="C116" s="388"/>
      <c r="D116" s="351" t="s">
        <v>83</v>
      </c>
      <c r="E116" s="389">
        <f>STDEV(E108:E113)/E115</f>
        <v>1.9591770123735298E-2</v>
      </c>
      <c r="F116" s="389">
        <f>STDEV(F108:F113)/F115</f>
        <v>1.9591770123735294E-2</v>
      </c>
      <c r="G116" s="531" t="s">
        <v>83</v>
      </c>
      <c r="H116" s="532">
        <f>STDEV('Clavulanic acid'!F108:F113,F108:F113)/H115</f>
        <v>7.3470397590257697E-2</v>
      </c>
      <c r="I116" s="233"/>
    </row>
    <row r="117" spans="1:10" ht="27" customHeight="1" thickBot="1" x14ac:dyDescent="0.45">
      <c r="A117" s="490" t="s">
        <v>77</v>
      </c>
      <c r="B117" s="491"/>
      <c r="C117" s="390"/>
      <c r="D117" s="391" t="s">
        <v>19</v>
      </c>
      <c r="E117" s="392">
        <f>COUNT(E108:E113)</f>
        <v>6</v>
      </c>
      <c r="F117" s="392">
        <f>COUNT(F108:F113)</f>
        <v>6</v>
      </c>
      <c r="G117" s="533" t="s">
        <v>19</v>
      </c>
      <c r="H117" s="534">
        <f>COUNT('Clavulanic acid'!F108:F113,F108:F113)</f>
        <v>12</v>
      </c>
      <c r="I117" s="233"/>
      <c r="J117" s="371"/>
    </row>
    <row r="118" spans="1:10" ht="19.5" customHeight="1" thickBot="1" x14ac:dyDescent="0.35">
      <c r="A118" s="492"/>
      <c r="B118" s="493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105</v>
      </c>
      <c r="B120" s="339" t="s">
        <v>122</v>
      </c>
      <c r="C120" s="494" t="str">
        <f>B20</f>
        <v>Amoxicillin &amp; Clavulanic Acid</v>
      </c>
      <c r="D120" s="494"/>
      <c r="E120" s="340" t="s">
        <v>123</v>
      </c>
      <c r="F120" s="340"/>
      <c r="G120" s="341">
        <f>F115</f>
        <v>1.017172428966195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495" t="s">
        <v>25</v>
      </c>
      <c r="C122" s="495"/>
      <c r="E122" s="346" t="s">
        <v>26</v>
      </c>
      <c r="F122" s="395"/>
      <c r="G122" s="495" t="s">
        <v>27</v>
      </c>
      <c r="H122" s="495"/>
    </row>
    <row r="123" spans="1:10" ht="69.95" customHeight="1" x14ac:dyDescent="0.3">
      <c r="A123" s="396" t="s">
        <v>28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29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I21" sqref="I21"/>
    </sheetView>
  </sheetViews>
  <sheetFormatPr defaultRowHeight="12.75" x14ac:dyDescent="0.2"/>
  <sheetData>
    <row r="1" spans="1:6" x14ac:dyDescent="0.2">
      <c r="A1" s="474" t="s">
        <v>132</v>
      </c>
      <c r="B1" s="475" t="s">
        <v>133</v>
      </c>
      <c r="C1" s="476"/>
      <c r="D1" s="477" t="s">
        <v>134</v>
      </c>
      <c r="E1" s="476"/>
    </row>
    <row r="2" spans="1:6" x14ac:dyDescent="0.2">
      <c r="B2" s="465">
        <v>0.81620000000000004</v>
      </c>
      <c r="C2" s="467"/>
      <c r="D2" s="466">
        <v>0.89059999999999995</v>
      </c>
      <c r="E2" s="467"/>
      <c r="F2" s="464"/>
    </row>
    <row r="3" spans="1:6" x14ac:dyDescent="0.2">
      <c r="B3" s="465">
        <v>0.82410000000000005</v>
      </c>
      <c r="C3" s="467"/>
      <c r="D3" s="466">
        <v>0.85919999999999996</v>
      </c>
      <c r="E3" s="467"/>
      <c r="F3" s="464"/>
    </row>
    <row r="4" spans="1:6" x14ac:dyDescent="0.2">
      <c r="B4" s="465">
        <v>0.86229999999999996</v>
      </c>
      <c r="C4" s="467"/>
      <c r="D4" s="466">
        <v>0.88160000000000005</v>
      </c>
      <c r="E4" s="467"/>
      <c r="F4" s="464"/>
    </row>
    <row r="5" spans="1:6" x14ac:dyDescent="0.2">
      <c r="B5" s="465">
        <v>0.88170000000000004</v>
      </c>
      <c r="C5" s="467"/>
      <c r="D5" s="466">
        <v>0.92730000000000001</v>
      </c>
      <c r="E5" s="467"/>
      <c r="F5" s="464"/>
    </row>
    <row r="6" spans="1:6" x14ac:dyDescent="0.2">
      <c r="B6" s="465">
        <v>0.8458</v>
      </c>
      <c r="C6" s="467"/>
      <c r="D6" s="466">
        <v>0.89139999999999997</v>
      </c>
      <c r="E6" s="467"/>
      <c r="F6" s="464"/>
    </row>
    <row r="7" spans="1:6" x14ac:dyDescent="0.2">
      <c r="B7" s="465">
        <v>0.85240000000000005</v>
      </c>
      <c r="C7" s="467"/>
      <c r="D7" s="466">
        <v>0.88249999999999995</v>
      </c>
      <c r="E7" s="467"/>
      <c r="F7" s="464"/>
    </row>
    <row r="8" spans="1:6" x14ac:dyDescent="0.2">
      <c r="B8" s="465">
        <v>1.0221325789204683</v>
      </c>
      <c r="C8" s="467"/>
      <c r="D8" s="466">
        <v>1.017404665042311</v>
      </c>
      <c r="E8" s="467"/>
      <c r="F8" s="464"/>
    </row>
    <row r="9" spans="1:6" x14ac:dyDescent="0.2">
      <c r="B9" s="465">
        <v>0.99893417802861084</v>
      </c>
      <c r="C9" s="467"/>
      <c r="D9" s="466">
        <v>1.0349568227897916</v>
      </c>
      <c r="E9" s="467"/>
      <c r="F9" s="464"/>
    </row>
    <row r="10" spans="1:6" x14ac:dyDescent="0.2">
      <c r="B10" s="465">
        <v>0.99077375964457259</v>
      </c>
      <c r="C10" s="467"/>
      <c r="D10" s="466">
        <v>1.0240477744150376</v>
      </c>
      <c r="E10" s="467"/>
      <c r="F10" s="464"/>
    </row>
    <row r="11" spans="1:6" x14ac:dyDescent="0.2">
      <c r="B11" s="465">
        <v>1.0448357351780495</v>
      </c>
      <c r="C11" s="467"/>
      <c r="D11" s="466">
        <v>1.0380477493970079</v>
      </c>
      <c r="E11" s="467"/>
      <c r="F11" s="464"/>
    </row>
    <row r="12" spans="1:6" x14ac:dyDescent="0.2">
      <c r="B12" s="465">
        <v>0.96294650265188442</v>
      </c>
      <c r="C12" s="467"/>
      <c r="D12" s="466">
        <v>1.0026241513199776</v>
      </c>
      <c r="E12" s="467"/>
      <c r="F12" s="464"/>
    </row>
    <row r="13" spans="1:6" x14ac:dyDescent="0.2">
      <c r="B13" s="465">
        <v>0.94742814467656367</v>
      </c>
      <c r="C13" s="467"/>
      <c r="D13" s="466">
        <v>0.98595341083304333</v>
      </c>
      <c r="E13" s="467"/>
      <c r="F13" s="464"/>
    </row>
    <row r="14" spans="1:6" x14ac:dyDescent="0.2">
      <c r="B14" s="468"/>
      <c r="C14" s="469"/>
      <c r="D14" s="470"/>
      <c r="E14" s="469"/>
    </row>
    <row r="15" spans="1:6" x14ac:dyDescent="0.2">
      <c r="B15" s="471">
        <f>J10+AVERAGE(B2:B13)</f>
        <v>0.9207959082583459</v>
      </c>
      <c r="C15" s="472"/>
      <c r="D15" s="473">
        <f>AVERAGE(D2:D13)</f>
        <v>0.95296954781643073</v>
      </c>
      <c r="E15" s="47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SST (DISS) (2)</vt:lpstr>
      <vt:lpstr>SST (ASSAY)</vt:lpstr>
      <vt:lpstr>SST (DISS)</vt:lpstr>
      <vt:lpstr>Uniformity</vt:lpstr>
      <vt:lpstr>amoxicillin Trihydrate</vt:lpstr>
      <vt:lpstr>Clavulanic acid</vt:lpstr>
      <vt:lpstr>amoxicillin Trihydrate 2</vt:lpstr>
      <vt:lpstr>Clavulanic acid 2</vt:lpstr>
      <vt:lpstr>Sheet1</vt:lpstr>
      <vt:lpstr>'amoxicillin Trihydrate'!Print_Area</vt:lpstr>
      <vt:lpstr>'amoxicillin Trihydrate 2'!Print_Area</vt:lpstr>
      <vt:lpstr>'Clavulanic acid'!Print_Area</vt:lpstr>
      <vt:lpstr>'Clavulanic acid 2'!Print_Area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User</cp:lastModifiedBy>
  <cp:lastPrinted>2016-06-16T08:52:46Z</cp:lastPrinted>
  <dcterms:created xsi:type="dcterms:W3CDTF">2005-07-05T10:19:27Z</dcterms:created>
  <dcterms:modified xsi:type="dcterms:W3CDTF">2016-06-16T08:57:40Z</dcterms:modified>
  <cp:category/>
</cp:coreProperties>
</file>