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5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68" i="4" l="1"/>
  <c r="D64" i="4"/>
  <c r="D60" i="4"/>
  <c r="C45" i="2"/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19" i="2"/>
  <c r="D39" i="2" l="1"/>
  <c r="C49" i="2"/>
  <c r="D43" i="2"/>
  <c r="D35" i="2"/>
  <c r="D27" i="2"/>
  <c r="D31" i="2"/>
  <c r="D101" i="4"/>
  <c r="D102" i="4" s="1"/>
  <c r="I92" i="4"/>
  <c r="F99" i="4"/>
  <c r="I92" i="3"/>
  <c r="I39" i="4"/>
  <c r="D49" i="4"/>
  <c r="F44" i="4"/>
  <c r="F45" i="4" s="1"/>
  <c r="D45" i="4"/>
  <c r="D46" i="4" s="1"/>
  <c r="D101" i="3"/>
  <c r="D102" i="3" s="1"/>
  <c r="I39" i="3"/>
  <c r="D49" i="3"/>
  <c r="F44" i="3"/>
  <c r="F45" i="3" s="1"/>
  <c r="G40" i="3" s="1"/>
  <c r="D45" i="3"/>
  <c r="E38" i="3" s="1"/>
  <c r="F98" i="3"/>
  <c r="F99" i="3" s="1"/>
  <c r="E38" i="4"/>
  <c r="E39" i="4"/>
  <c r="G94" i="4"/>
  <c r="D24" i="2"/>
  <c r="D28" i="2"/>
  <c r="D32" i="2"/>
  <c r="D36" i="2"/>
  <c r="D40" i="2"/>
  <c r="D49" i="2"/>
  <c r="B57" i="3"/>
  <c r="B69" i="3" s="1"/>
  <c r="E41" i="4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E40" i="4"/>
  <c r="G91" i="4" l="1"/>
  <c r="G93" i="4"/>
  <c r="G92" i="4"/>
  <c r="G40" i="4"/>
  <c r="G39" i="4"/>
  <c r="F46" i="4"/>
  <c r="G41" i="4"/>
  <c r="G38" i="4"/>
  <c r="G41" i="3"/>
  <c r="E41" i="3"/>
  <c r="D46" i="3"/>
  <c r="E39" i="3"/>
  <c r="E40" i="3"/>
  <c r="F46" i="3"/>
  <c r="G39" i="3"/>
  <c r="G38" i="3"/>
  <c r="E94" i="3"/>
  <c r="E93" i="3"/>
  <c r="E42" i="4"/>
  <c r="E91" i="3"/>
  <c r="E92" i="3"/>
  <c r="G94" i="3"/>
  <c r="G93" i="3"/>
  <c r="E94" i="4"/>
  <c r="E93" i="4"/>
  <c r="G92" i="3"/>
  <c r="G91" i="3"/>
  <c r="G95" i="3" s="1"/>
  <c r="E91" i="4"/>
  <c r="E92" i="4"/>
  <c r="G95" i="4" l="1"/>
  <c r="D52" i="4"/>
  <c r="D50" i="4"/>
  <c r="G68" i="4" s="1"/>
  <c r="H68" i="4" s="1"/>
  <c r="G42" i="4"/>
  <c r="E42" i="3"/>
  <c r="G42" i="3"/>
  <c r="D52" i="3"/>
  <c r="D50" i="3"/>
  <c r="G68" i="3" s="1"/>
  <c r="H68" i="3" s="1"/>
  <c r="D51" i="3"/>
  <c r="E95" i="3"/>
  <c r="D105" i="3"/>
  <c r="D103" i="3"/>
  <c r="E95" i="4"/>
  <c r="D105" i="4"/>
  <c r="D103" i="4"/>
  <c r="G67" i="4" l="1"/>
  <c r="H67" i="4" s="1"/>
  <c r="D51" i="4"/>
  <c r="G62" i="4"/>
  <c r="H62" i="4" s="1"/>
  <c r="G63" i="4"/>
  <c r="H63" i="4" s="1"/>
  <c r="G71" i="4"/>
  <c r="H71" i="4" s="1"/>
  <c r="G66" i="4"/>
  <c r="H66" i="4" s="1"/>
  <c r="G65" i="4"/>
  <c r="H65" i="4" s="1"/>
  <c r="G60" i="4"/>
  <c r="H60" i="4" s="1"/>
  <c r="G69" i="4"/>
  <c r="H69" i="4" s="1"/>
  <c r="G61" i="4"/>
  <c r="H61" i="4" s="1"/>
  <c r="G70" i="4"/>
  <c r="H70" i="4" s="1"/>
  <c r="G64" i="4"/>
  <c r="H64" i="4" s="1"/>
  <c r="G63" i="3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E115" i="3"/>
  <c r="E116" i="3" s="1"/>
  <c r="E117" i="3"/>
  <c r="F108" i="3"/>
  <c r="H74" i="3"/>
  <c r="H72" i="3"/>
  <c r="H74" i="4"/>
  <c r="H72" i="4"/>
  <c r="E115" i="4"/>
  <c r="E116" i="4" s="1"/>
  <c r="E117" i="4"/>
  <c r="F108" i="4"/>
  <c r="G76" i="4" l="1"/>
  <c r="H73" i="4"/>
  <c r="F117" i="3"/>
  <c r="F115" i="3"/>
  <c r="F117" i="4"/>
  <c r="F115" i="4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<sst xmlns="http://schemas.openxmlformats.org/spreadsheetml/2006/main" count="396" uniqueCount="133">
  <si>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</si>
  <si>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</si>
  <si>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</si>
  <si>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</si>
  <si>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</si>
  <si>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</si>
  <si>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</si>
  <si>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Sulfamethoxazole &amp; Trimethoprim</t>
  </si>
  <si>
    <t>Standard Conc (mg/mL):</t>
  </si>
  <si>
    <t>Sulfamethoxazole 400mg, Trimethoprim 80mg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</si>
  <si>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</si>
  <si>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</si>
  <si>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</si>
  <si>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</si>
  <si>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</si>
  <si>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</si>
  <si>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</si>
  <si>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</si>
  <si>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</si>
  <si>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</si>
  <si>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</si>
  <si>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</si>
  <si>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</si>
  <si>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</si>
  <si>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</si>
  <si>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</si>
  <si>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</si>
  <si>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</si>
  <si>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</si>
  <si>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</si>
  <si>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</si>
  <si>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</si>
  <si>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</si>
  <si>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</si>
  <si>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</si>
  <si>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</si>
  <si>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</si>
  <si>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</si>
  <si>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</si>
  <si>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</si>
  <si>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</si>
  <si>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</si>
  <si>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</si>
  <si>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</si>
  <si>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</si>
  <si>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</si>
  <si>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</si>
  <si>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</si>
  <si>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</si>
  <si>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</si>
  <si>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</si>
  <si>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</si>
  <si>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</si>
  <si>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</si>
  <si>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</si>
  <si>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</si>
  <si>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</si>
  <si>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</si>
  <si>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</si>
  <si>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</si>
  <si>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</si>
  <si>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</si>
  <si>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</si>
  <si>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</si>
  <si>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</si>
  <si>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</si>
  <si>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</si>
  <si>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</si>
  <si>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</si>
  <si>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</si>
  <si>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</si>
  <si>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</si>
  <si>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</si>
  <si>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</si>
  <si>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</si>
  <si>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</si>
  <si>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</si>
  <si>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</si>
  <si>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</si>
  <si>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</si>
  <si>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</si>
  <si>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</si>
  <si>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</si>
  <si>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</si>
  <si>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</si>
  <si>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</si>
  <si>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</si>
  <si>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</si>
  <si>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</si>
  <si>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</si>
  <si>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</si>
  <si>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</si>
  <si>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</si>
  <si>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</si>
  <si>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</si>
  <si>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</si>
  <si>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</si>
  <si>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</si>
  <si>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</si>
  <si>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</si>
  <si>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</si>
  <si>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</si>
  <si>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</si>
  <si>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</si>
  <si>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</si>
  <si>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</si>
  <si>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</si>
  <si>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</si>
  <si>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</si>
  <si>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</si>
  <si>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</si>
  <si>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</si>
  <si>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</si>
  <si>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</si>
  <si>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</si>
  <si>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</si>
  <si>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</si>
  <si>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</si>
  <si>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</si>
  <si>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</si>
  <si>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</si>
  <si>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</si>
  <si>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</si>
  <si>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2015-10-02 10:44:06</t>
  </si>
  <si>
    <t>Trimethoprim</t>
  </si>
  <si>
    <t xml:space="preserve">ASTRIM </t>
  </si>
  <si>
    <t>S 12 4</t>
  </si>
  <si>
    <t xml:space="preserve">Sulfamethoxazole </t>
  </si>
  <si>
    <t>T14 9</t>
  </si>
  <si>
    <t xml:space="preserve"> Trimethoprim</t>
  </si>
  <si>
    <t>NDQA201509395</t>
  </si>
  <si>
    <t>UNITRIM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</si>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</sst>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15" fontId="11" fillId="2" borderId="11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21" sqref="C2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62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2" t="s">
        <v>125</v>
      </c>
      <c r="D17" s="423"/>
      <c r="E17" s="424"/>
    </row>
    <row r="18" spans="1:5" ht="16.5" customHeight="1" x14ac:dyDescent="0.3">
      <c r="A18" s="425" t="s">
        <v>4</v>
      </c>
      <c r="B18" s="426" t="s">
        <v>122</v>
      </c>
      <c r="C18" s="424"/>
      <c r="D18" s="424"/>
      <c r="E18" s="424"/>
    </row>
    <row r="19" spans="1:5" ht="16.5" customHeight="1" x14ac:dyDescent="0.3">
      <c r="A19" s="425" t="s">
        <v>5</v>
      </c>
      <c r="B19" s="427">
        <v>99.65</v>
      </c>
      <c r="C19" s="424"/>
      <c r="D19" s="424"/>
      <c r="E19" s="424"/>
    </row>
    <row r="20" spans="1:5" ht="16.5" customHeight="1" x14ac:dyDescent="0.3">
      <c r="A20" s="421" t="s">
        <v>6</v>
      </c>
      <c r="B20" s="427">
        <v>19.95</v>
      </c>
      <c r="C20" s="424"/>
      <c r="D20" s="424"/>
      <c r="E20" s="424"/>
    </row>
    <row r="21" spans="1:5" ht="16.5" customHeight="1" x14ac:dyDescent="0.3">
      <c r="A21" s="421" t="s">
        <v>8</v>
      </c>
      <c r="B21" s="428">
        <f>B20/25*10/50</f>
        <v>0.15959999999999999</v>
      </c>
      <c r="C21" s="424"/>
      <c r="D21" s="424"/>
      <c r="E21" s="424"/>
    </row>
    <row r="22" spans="1:5" ht="15.75" customHeight="1" x14ac:dyDescent="0.25">
      <c r="A22" s="424"/>
      <c r="B22" s="424" t="s">
        <v>123</v>
      </c>
      <c r="C22" s="424"/>
      <c r="D22" s="424"/>
      <c r="E22" s="424"/>
    </row>
    <row r="23" spans="1:5" ht="16.5" customHeight="1" x14ac:dyDescent="0.3">
      <c r="A23" s="429" t="s">
        <v>11</v>
      </c>
      <c r="B23" s="430" t="s">
        <v>12</v>
      </c>
      <c r="C23" s="429" t="s">
        <v>13</v>
      </c>
      <c r="D23" s="429" t="s">
        <v>14</v>
      </c>
      <c r="E23" s="431" t="s">
        <v>15</v>
      </c>
    </row>
    <row r="24" spans="1:5" ht="16.5" customHeight="1" x14ac:dyDescent="0.3">
      <c r="A24" s="432">
        <v>1</v>
      </c>
      <c r="B24" s="433">
        <v>124564490</v>
      </c>
      <c r="C24" s="433">
        <v>11200.7</v>
      </c>
      <c r="D24" s="434">
        <v>1</v>
      </c>
      <c r="E24" s="435">
        <v>7.9</v>
      </c>
    </row>
    <row r="25" spans="1:5" ht="16.5" customHeight="1" x14ac:dyDescent="0.3">
      <c r="A25" s="432">
        <v>2</v>
      </c>
      <c r="B25" s="433">
        <v>124751802</v>
      </c>
      <c r="C25" s="433">
        <v>11185.1</v>
      </c>
      <c r="D25" s="434">
        <v>1</v>
      </c>
      <c r="E25" s="436">
        <v>7.9</v>
      </c>
    </row>
    <row r="26" spans="1:5" ht="16.5" customHeight="1" x14ac:dyDescent="0.3">
      <c r="A26" s="432">
        <v>3</v>
      </c>
      <c r="B26" s="433">
        <v>124696532</v>
      </c>
      <c r="C26" s="433">
        <v>11211</v>
      </c>
      <c r="D26" s="434">
        <v>1</v>
      </c>
      <c r="E26" s="436">
        <v>7.9</v>
      </c>
    </row>
    <row r="27" spans="1:5" ht="16.5" customHeight="1" x14ac:dyDescent="0.3">
      <c r="A27" s="432">
        <v>4</v>
      </c>
      <c r="B27" s="433">
        <v>124863060</v>
      </c>
      <c r="C27" s="433">
        <v>11212.3</v>
      </c>
      <c r="D27" s="434">
        <v>1</v>
      </c>
      <c r="E27" s="436">
        <v>7.9</v>
      </c>
    </row>
    <row r="28" spans="1:5" ht="16.5" customHeight="1" x14ac:dyDescent="0.3">
      <c r="A28" s="432">
        <v>5</v>
      </c>
      <c r="B28" s="433">
        <v>124798906</v>
      </c>
      <c r="C28" s="433">
        <v>11221.1</v>
      </c>
      <c r="D28" s="434">
        <v>1</v>
      </c>
      <c r="E28" s="436">
        <v>7.9</v>
      </c>
    </row>
    <row r="29" spans="1:5" ht="16.5" customHeight="1" x14ac:dyDescent="0.3">
      <c r="A29" s="432">
        <v>6</v>
      </c>
      <c r="B29" s="437">
        <v>125066972</v>
      </c>
      <c r="C29" s="437">
        <v>11220</v>
      </c>
      <c r="D29" s="438">
        <v>1</v>
      </c>
      <c r="E29" s="439">
        <v>7.9</v>
      </c>
    </row>
    <row r="30" spans="1:5" ht="16.5" customHeight="1" x14ac:dyDescent="0.3">
      <c r="A30" s="440" t="s">
        <v>16</v>
      </c>
      <c r="B30" s="441">
        <f>AVERAGE(B24:B29)</f>
        <v>124790293.66666667</v>
      </c>
      <c r="C30" s="442">
        <f>AVERAGE(C24:C29)</f>
        <v>11208.366666666669</v>
      </c>
      <c r="D30" s="443">
        <f>AVERAGE(D24:D29)</f>
        <v>1</v>
      </c>
      <c r="E30" s="444">
        <f>AVERAGE(E24:E29)</f>
        <v>7.8999999999999995</v>
      </c>
    </row>
    <row r="31" spans="1:5" ht="16.5" customHeight="1" x14ac:dyDescent="0.3">
      <c r="A31" s="445" t="s">
        <v>17</v>
      </c>
      <c r="B31" s="446">
        <f>(STDEV(B24:B29)/B30)</f>
        <v>1.356049747129006E-3</v>
      </c>
      <c r="C31" s="447"/>
      <c r="D31" s="447"/>
      <c r="E31" s="448"/>
    </row>
    <row r="32" spans="1:5" s="417" customFormat="1" ht="16.5" customHeight="1" x14ac:dyDescent="0.3">
      <c r="A32" s="449" t="s">
        <v>18</v>
      </c>
      <c r="B32" s="450">
        <f>COUNT(B24:B29)</f>
        <v>6</v>
      </c>
      <c r="C32" s="451"/>
      <c r="D32" s="452"/>
      <c r="E32" s="453"/>
    </row>
    <row r="33" spans="1:5" s="417" customFormat="1" ht="15.75" customHeight="1" x14ac:dyDescent="0.25">
      <c r="A33" s="424"/>
      <c r="B33" s="424"/>
      <c r="C33" s="424"/>
      <c r="D33" s="424"/>
      <c r="E33" s="424"/>
    </row>
    <row r="34" spans="1:5" s="417" customFormat="1" ht="16.5" customHeight="1" x14ac:dyDescent="0.3">
      <c r="A34" s="425" t="s">
        <v>19</v>
      </c>
      <c r="B34" s="454" t="s">
        <v>20</v>
      </c>
      <c r="C34" s="455"/>
      <c r="D34" s="455"/>
      <c r="E34" s="455"/>
    </row>
    <row r="35" spans="1:5" ht="16.5" customHeight="1" x14ac:dyDescent="0.3">
      <c r="A35" s="425"/>
      <c r="B35" s="454" t="s">
        <v>21</v>
      </c>
      <c r="C35" s="455"/>
      <c r="D35" s="455"/>
      <c r="E35" s="455"/>
    </row>
    <row r="36" spans="1:5" ht="16.5" customHeight="1" x14ac:dyDescent="0.3">
      <c r="A36" s="425"/>
      <c r="B36" s="454" t="s">
        <v>22</v>
      </c>
      <c r="C36" s="455"/>
      <c r="D36" s="455"/>
      <c r="E36" s="455"/>
    </row>
    <row r="37" spans="1:5" ht="15.75" customHeight="1" x14ac:dyDescent="0.25">
      <c r="A37" s="424"/>
      <c r="B37" s="424"/>
      <c r="C37" s="424"/>
      <c r="D37" s="424"/>
      <c r="E37" s="424"/>
    </row>
    <row r="38" spans="1:5" ht="16.5" customHeight="1" x14ac:dyDescent="0.3">
      <c r="A38" s="419" t="s">
        <v>1</v>
      </c>
      <c r="B38" s="420"/>
    </row>
    <row r="39" spans="1:5" ht="16.5" customHeight="1" x14ac:dyDescent="0.3">
      <c r="A39" s="425" t="s">
        <v>4</v>
      </c>
      <c r="B39" s="422" t="s">
        <v>124</v>
      </c>
      <c r="C39" s="424"/>
      <c r="D39" s="424"/>
      <c r="E39" s="424"/>
    </row>
    <row r="40" spans="1:5" ht="16.5" customHeight="1" x14ac:dyDescent="0.3">
      <c r="A40" s="425" t="s">
        <v>5</v>
      </c>
      <c r="B40" s="427">
        <v>99.3</v>
      </c>
      <c r="C40" s="424"/>
      <c r="D40" s="424"/>
      <c r="E40" s="424"/>
    </row>
    <row r="41" spans="1:5" ht="16.5" customHeight="1" x14ac:dyDescent="0.3">
      <c r="A41" s="421" t="s">
        <v>6</v>
      </c>
      <c r="B41" s="427">
        <v>19.16</v>
      </c>
      <c r="C41" s="424"/>
      <c r="D41" s="424"/>
      <c r="E41" s="424"/>
    </row>
    <row r="42" spans="1:5" ht="16.5" customHeight="1" x14ac:dyDescent="0.3">
      <c r="A42" s="421" t="s">
        <v>8</v>
      </c>
      <c r="B42" s="428">
        <f>B41/25*2/50</f>
        <v>3.0655999999999999E-2</v>
      </c>
      <c r="C42" s="424"/>
      <c r="D42" s="424"/>
      <c r="E42" s="424"/>
    </row>
    <row r="43" spans="1:5" ht="15.75" customHeight="1" x14ac:dyDescent="0.25">
      <c r="A43" s="424"/>
      <c r="B43" s="424"/>
      <c r="C43" s="424"/>
      <c r="D43" s="424"/>
      <c r="E43" s="424"/>
    </row>
    <row r="44" spans="1:5" ht="16.5" customHeight="1" x14ac:dyDescent="0.3">
      <c r="A44" s="429" t="s">
        <v>11</v>
      </c>
      <c r="B44" s="430" t="s">
        <v>12</v>
      </c>
      <c r="C44" s="429" t="s">
        <v>13</v>
      </c>
      <c r="D44" s="429" t="s">
        <v>14</v>
      </c>
      <c r="E44" s="429" t="s">
        <v>15</v>
      </c>
    </row>
    <row r="45" spans="1:5" ht="16.5" customHeight="1" x14ac:dyDescent="0.3">
      <c r="A45" s="432">
        <v>1</v>
      </c>
      <c r="B45" s="433">
        <v>9118617</v>
      </c>
      <c r="C45" s="433">
        <v>8541.1</v>
      </c>
      <c r="D45" s="456">
        <v>1.1000000000000001</v>
      </c>
      <c r="E45" s="457">
        <v>4.0999999999999996</v>
      </c>
    </row>
    <row r="46" spans="1:5" ht="16.5" customHeight="1" x14ac:dyDescent="0.3">
      <c r="A46" s="432">
        <v>2</v>
      </c>
      <c r="B46" s="433">
        <v>9117029</v>
      </c>
      <c r="C46" s="433">
        <v>8629.1</v>
      </c>
      <c r="D46" s="456">
        <v>1.2</v>
      </c>
      <c r="E46" s="456">
        <v>4.0999999999999996</v>
      </c>
    </row>
    <row r="47" spans="1:5" ht="16.5" customHeight="1" x14ac:dyDescent="0.3">
      <c r="A47" s="432">
        <v>3</v>
      </c>
      <c r="B47" s="433">
        <v>9099830</v>
      </c>
      <c r="C47" s="433">
        <v>8582.7000000000007</v>
      </c>
      <c r="D47" s="456">
        <v>1.2</v>
      </c>
      <c r="E47" s="456">
        <v>4.0999999999999996</v>
      </c>
    </row>
    <row r="48" spans="1:5" ht="16.5" customHeight="1" x14ac:dyDescent="0.3">
      <c r="A48" s="432">
        <v>4</v>
      </c>
      <c r="B48" s="433">
        <v>9108647</v>
      </c>
      <c r="C48" s="433">
        <v>8581.9</v>
      </c>
      <c r="D48" s="456">
        <v>1.1000000000000001</v>
      </c>
      <c r="E48" s="456">
        <v>4.0999999999999996</v>
      </c>
    </row>
    <row r="49" spans="1:7" ht="16.5" customHeight="1" x14ac:dyDescent="0.3">
      <c r="A49" s="432">
        <v>5</v>
      </c>
      <c r="B49" s="433">
        <v>9097392</v>
      </c>
      <c r="C49" s="433">
        <v>8591.9</v>
      </c>
      <c r="D49" s="456">
        <v>1.1000000000000001</v>
      </c>
      <c r="E49" s="456">
        <v>4.0999999999999996</v>
      </c>
    </row>
    <row r="50" spans="1:7" ht="16.5" customHeight="1" x14ac:dyDescent="0.3">
      <c r="A50" s="432">
        <v>6</v>
      </c>
      <c r="B50" s="437">
        <v>9104270</v>
      </c>
      <c r="C50" s="437">
        <v>8599.7999999999993</v>
      </c>
      <c r="D50" s="458">
        <v>1.1000000000000001</v>
      </c>
      <c r="E50" s="458">
        <v>4.0999999999999996</v>
      </c>
    </row>
    <row r="51" spans="1:7" ht="16.5" customHeight="1" x14ac:dyDescent="0.3">
      <c r="A51" s="440" t="s">
        <v>16</v>
      </c>
      <c r="B51" s="441">
        <f>AVERAGE(B45:B50)</f>
        <v>9107630.833333334</v>
      </c>
      <c r="C51" s="442">
        <f>AVERAGE(C45:C50)</f>
        <v>8587.75</v>
      </c>
      <c r="D51" s="443">
        <f>AVERAGE(D45:D50)</f>
        <v>1.1333333333333331</v>
      </c>
      <c r="E51" s="443">
        <f>AVERAGE(E45:E50)</f>
        <v>4.1000000000000005</v>
      </c>
    </row>
    <row r="52" spans="1:7" ht="16.5" customHeight="1" x14ac:dyDescent="0.3">
      <c r="A52" s="445" t="s">
        <v>17</v>
      </c>
      <c r="B52" s="446">
        <f>(STDEV(B45:B50)/B51)</f>
        <v>9.6601796640588523E-4</v>
      </c>
      <c r="C52" s="447"/>
      <c r="D52" s="447"/>
      <c r="E52" s="448"/>
    </row>
    <row r="53" spans="1:7" s="417" customFormat="1" ht="16.5" customHeight="1" x14ac:dyDescent="0.3">
      <c r="A53" s="449" t="s">
        <v>18</v>
      </c>
      <c r="B53" s="450">
        <f>COUNT(B45:B50)</f>
        <v>6</v>
      </c>
      <c r="C53" s="451"/>
      <c r="D53" s="452"/>
      <c r="E53" s="453"/>
    </row>
    <row r="54" spans="1:7" s="417" customFormat="1" ht="15.75" customHeight="1" x14ac:dyDescent="0.25">
      <c r="A54" s="424"/>
      <c r="B54" s="424"/>
      <c r="C54" s="424"/>
      <c r="D54" s="424"/>
      <c r="E54" s="424"/>
    </row>
    <row r="55" spans="1:7" s="417" customFormat="1" ht="16.5" customHeight="1" x14ac:dyDescent="0.3">
      <c r="A55" s="425" t="s">
        <v>19</v>
      </c>
      <c r="B55" s="454" t="s">
        <v>20</v>
      </c>
      <c r="C55" s="455"/>
      <c r="D55" s="455"/>
      <c r="E55" s="455"/>
    </row>
    <row r="56" spans="1:7" ht="16.5" customHeight="1" x14ac:dyDescent="0.3">
      <c r="A56" s="425"/>
      <c r="B56" s="454" t="s">
        <v>21</v>
      </c>
      <c r="C56" s="455"/>
      <c r="D56" s="455"/>
      <c r="E56" s="455"/>
    </row>
    <row r="57" spans="1:7" ht="16.5" customHeight="1" x14ac:dyDescent="0.3">
      <c r="A57" s="425"/>
      <c r="B57" s="454" t="s">
        <v>22</v>
      </c>
      <c r="C57" s="455"/>
      <c r="D57" s="455"/>
      <c r="E57" s="455"/>
    </row>
    <row r="58" spans="1:7" ht="14.25" customHeight="1" thickBot="1" x14ac:dyDescent="0.3">
      <c r="A58" s="459"/>
      <c r="B58" s="460"/>
      <c r="D58" s="461"/>
      <c r="F58" s="462"/>
      <c r="G58" s="462"/>
    </row>
    <row r="59" spans="1:7" ht="15" customHeight="1" x14ac:dyDescent="0.3">
      <c r="B59" s="472" t="s">
        <v>23</v>
      </c>
      <c r="C59" s="472"/>
      <c r="E59" s="463" t="s">
        <v>24</v>
      </c>
      <c r="F59" s="464"/>
      <c r="G59" s="463" t="s">
        <v>25</v>
      </c>
    </row>
    <row r="60" spans="1:7" ht="15" customHeight="1" x14ac:dyDescent="0.3">
      <c r="A60" s="465" t="s">
        <v>26</v>
      </c>
      <c r="B60" s="466"/>
      <c r="C60" s="466"/>
      <c r="E60" s="466"/>
      <c r="G60" s="466"/>
    </row>
    <row r="61" spans="1:7" ht="15" customHeight="1" x14ac:dyDescent="0.3">
      <c r="A61" s="465" t="s">
        <v>27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28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29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30</v>
      </c>
      <c r="B14" s="480"/>
      <c r="C14" s="12" t="s">
        <v>131</v>
      </c>
    </row>
    <row r="15" spans="1:7" ht="16.5" customHeight="1" x14ac:dyDescent="0.3">
      <c r="A15" s="480" t="s">
        <v>31</v>
      </c>
      <c r="B15" s="480"/>
      <c r="C15" s="12" t="s">
        <v>130</v>
      </c>
    </row>
    <row r="16" spans="1:7" ht="16.5" customHeight="1" x14ac:dyDescent="0.3">
      <c r="A16" s="480" t="s">
        <v>32</v>
      </c>
      <c r="B16" s="480"/>
      <c r="C16" s="12" t="s">
        <v>7</v>
      </c>
    </row>
    <row r="17" spans="1:5" ht="16.5" customHeight="1" x14ac:dyDescent="0.3">
      <c r="A17" s="480" t="s">
        <v>33</v>
      </c>
      <c r="B17" s="480"/>
      <c r="C17" s="12" t="s">
        <v>9</v>
      </c>
    </row>
    <row r="18" spans="1:5" ht="16.5" customHeight="1" x14ac:dyDescent="0.3">
      <c r="A18" s="480" t="s">
        <v>34</v>
      </c>
      <c r="B18" s="480"/>
      <c r="C18" s="49" t="s">
        <v>10</v>
      </c>
    </row>
    <row r="19" spans="1:5" ht="16.5" customHeight="1" x14ac:dyDescent="0.3">
      <c r="A19" s="480" t="s">
        <v>35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36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530.03</v>
      </c>
      <c r="D24" s="39">
        <f t="shared" ref="D24:D43" si="0">(C24-$C$46)/$C$46</f>
        <v>2.3667755024078408E-3</v>
      </c>
      <c r="E24" s="5"/>
    </row>
    <row r="25" spans="1:5" ht="15.75" customHeight="1" x14ac:dyDescent="0.3">
      <c r="C25" s="47">
        <v>505.81</v>
      </c>
      <c r="D25" s="40">
        <f t="shared" si="0"/>
        <v>-4.3436902218982061E-2</v>
      </c>
      <c r="E25" s="5"/>
    </row>
    <row r="26" spans="1:5" ht="15.75" customHeight="1" x14ac:dyDescent="0.3">
      <c r="C26" s="47">
        <v>517.13</v>
      </c>
      <c r="D26" s="40">
        <f t="shared" si="0"/>
        <v>-2.2029072664641269E-2</v>
      </c>
      <c r="E26" s="5"/>
    </row>
    <row r="27" spans="1:5" ht="15.75" customHeight="1" x14ac:dyDescent="0.3">
      <c r="C27" s="47">
        <v>543.55999999999995</v>
      </c>
      <c r="D27" s="40">
        <f t="shared" si="0"/>
        <v>2.7954048812498876E-2</v>
      </c>
      <c r="E27" s="5"/>
    </row>
    <row r="28" spans="1:5" ht="15.75" customHeight="1" x14ac:dyDescent="0.3">
      <c r="C28" s="47">
        <v>537.13</v>
      </c>
      <c r="D28" s="40">
        <f t="shared" si="0"/>
        <v>1.5793947749388425E-2</v>
      </c>
      <c r="E28" s="5"/>
    </row>
    <row r="29" spans="1:5" ht="15.75" customHeight="1" x14ac:dyDescent="0.3">
      <c r="C29" s="47">
        <v>531.91</v>
      </c>
      <c r="D29" s="40">
        <f t="shared" si="0"/>
        <v>5.9221394213266236E-3</v>
      </c>
      <c r="E29" s="5"/>
    </row>
    <row r="30" spans="1:5" ht="15.75" customHeight="1" x14ac:dyDescent="0.3">
      <c r="C30" s="47">
        <v>543.16999999999996</v>
      </c>
      <c r="D30" s="40">
        <f t="shared" si="0"/>
        <v>2.7216499914425322E-2</v>
      </c>
      <c r="E30" s="5"/>
    </row>
    <row r="31" spans="1:5" ht="15.75" customHeight="1" x14ac:dyDescent="0.3">
      <c r="C31" s="47">
        <v>530.79999999999995</v>
      </c>
      <c r="D31" s="40">
        <f t="shared" si="0"/>
        <v>3.8229617883479496E-3</v>
      </c>
      <c r="E31" s="5"/>
    </row>
    <row r="32" spans="1:5" ht="15.75" customHeight="1" x14ac:dyDescent="0.3">
      <c r="C32" s="47">
        <v>535.6</v>
      </c>
      <c r="D32" s="40">
        <f t="shared" si="0"/>
        <v>1.2900486687715205E-2</v>
      </c>
      <c r="E32" s="5"/>
    </row>
    <row r="33" spans="1:7" ht="15.75" customHeight="1" x14ac:dyDescent="0.3">
      <c r="C33" s="47">
        <v>523.9</v>
      </c>
      <c r="D33" s="40">
        <f t="shared" si="0"/>
        <v>-9.2259802544922519E-3</v>
      </c>
      <c r="E33" s="5"/>
    </row>
    <row r="34" spans="1:7" ht="15.75" customHeight="1" x14ac:dyDescent="0.3">
      <c r="C34" s="47">
        <v>522.46</v>
      </c>
      <c r="D34" s="40">
        <f t="shared" si="0"/>
        <v>-1.1949237724302278E-2</v>
      </c>
      <c r="E34" s="5"/>
    </row>
    <row r="35" spans="1:7" ht="15.75" customHeight="1" x14ac:dyDescent="0.3">
      <c r="C35" s="47">
        <v>526.79999999999995</v>
      </c>
      <c r="D35" s="40">
        <f t="shared" si="0"/>
        <v>-3.7416422944579887E-3</v>
      </c>
      <c r="E35" s="5"/>
    </row>
    <row r="36" spans="1:7" ht="15.75" customHeight="1" x14ac:dyDescent="0.3">
      <c r="C36" s="47">
        <v>515.24</v>
      </c>
      <c r="D36" s="40">
        <f t="shared" si="0"/>
        <v>-2.5603348093767048E-2</v>
      </c>
      <c r="E36" s="5"/>
    </row>
    <row r="37" spans="1:7" ht="15.75" customHeight="1" x14ac:dyDescent="0.3">
      <c r="C37" s="47">
        <v>532.84</v>
      </c>
      <c r="D37" s="40">
        <f t="shared" si="0"/>
        <v>7.6809098705791241E-3</v>
      </c>
      <c r="E37" s="5"/>
    </row>
    <row r="38" spans="1:7" ht="15.75" customHeight="1" x14ac:dyDescent="0.3">
      <c r="C38" s="47">
        <v>527.13</v>
      </c>
      <c r="D38" s="40">
        <f t="shared" si="0"/>
        <v>-3.1175624576264215E-3</v>
      </c>
      <c r="E38" s="5"/>
    </row>
    <row r="39" spans="1:7" ht="15.75" customHeight="1" x14ac:dyDescent="0.3">
      <c r="C39" s="47">
        <v>532.70000000000005</v>
      </c>
      <c r="D39" s="40">
        <f t="shared" si="0"/>
        <v>7.4161487276809424E-3</v>
      </c>
      <c r="E39" s="5"/>
    </row>
    <row r="40" spans="1:7" ht="15.75" customHeight="1" x14ac:dyDescent="0.3">
      <c r="C40" s="47">
        <v>516.64</v>
      </c>
      <c r="D40" s="40">
        <f t="shared" si="0"/>
        <v>-2.2955736664785013E-2</v>
      </c>
      <c r="E40" s="5"/>
    </row>
    <row r="41" spans="1:7" ht="15.75" customHeight="1" x14ac:dyDescent="0.3">
      <c r="C41" s="47">
        <v>535.97</v>
      </c>
      <c r="D41" s="40">
        <f t="shared" si="0"/>
        <v>1.3600212565374763E-2</v>
      </c>
      <c r="E41" s="5"/>
    </row>
    <row r="42" spans="1:7" ht="15.75" customHeight="1" x14ac:dyDescent="0.3">
      <c r="C42" s="47">
        <v>535.54</v>
      </c>
      <c r="D42" s="40">
        <f t="shared" si="0"/>
        <v>1.2787017626473003E-2</v>
      </c>
      <c r="E42" s="5"/>
    </row>
    <row r="43" spans="1:7" ht="16.5" customHeight="1" x14ac:dyDescent="0.3">
      <c r="C43" s="48">
        <v>531.21</v>
      </c>
      <c r="D43" s="41">
        <f t="shared" si="0"/>
        <v>4.5983337068357128E-3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10575.57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528.77850000000001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73">
        <f>C46</f>
        <v>528.77850000000001</v>
      </c>
      <c r="C49" s="45">
        <f>-IF(C46&lt;=80,10%,IF(C46&lt;250,7.5%,5%))</f>
        <v>-0.05</v>
      </c>
      <c r="D49" s="33">
        <f>IF(C46&lt;=80,C46*0.9,IF(C46&lt;250,C46*0.925,C46*0.95))</f>
        <v>502.33957499999997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555.21742500000005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10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42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43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50"/>
    </row>
    <row r="16" spans="1:9" ht="19.5" customHeight="1" x14ac:dyDescent="0.3">
      <c r="A16" s="515" t="s">
        <v>28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44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52" t="s">
        <v>30</v>
      </c>
      <c r="B18" s="519" t="s">
        <v>131</v>
      </c>
      <c r="C18" s="519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130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20" t="s">
        <v>127</v>
      </c>
      <c r="C20" s="520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20" t="s">
        <v>9</v>
      </c>
      <c r="C21" s="520"/>
      <c r="D21" s="520"/>
      <c r="E21" s="520"/>
      <c r="F21" s="520"/>
      <c r="G21" s="520"/>
      <c r="H21" s="520"/>
      <c r="I21" s="56"/>
    </row>
    <row r="22" spans="1:14" ht="26.25" customHeight="1" x14ac:dyDescent="0.4">
      <c r="A22" s="52" t="s">
        <v>34</v>
      </c>
      <c r="B22" s="57" t="s">
        <v>10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4" t="s">
        <v>122</v>
      </c>
      <c r="C26" s="514"/>
    </row>
    <row r="27" spans="1:14" ht="26.25" customHeight="1" x14ac:dyDescent="0.4">
      <c r="A27" s="61" t="s">
        <v>45</v>
      </c>
      <c r="B27" s="512" t="s">
        <v>126</v>
      </c>
      <c r="C27" s="512"/>
    </row>
    <row r="28" spans="1:14" ht="27" customHeight="1" x14ac:dyDescent="0.4">
      <c r="A28" s="61" t="s">
        <v>5</v>
      </c>
      <c r="B28" s="62">
        <v>99.65</v>
      </c>
    </row>
    <row r="29" spans="1:14" s="3" customFormat="1" ht="27" customHeight="1" x14ac:dyDescent="0.4">
      <c r="A29" s="61" t="s">
        <v>46</v>
      </c>
      <c r="B29" s="63">
        <v>0</v>
      </c>
      <c r="C29" s="489" t="s">
        <v>47</v>
      </c>
      <c r="D29" s="490"/>
      <c r="E29" s="490"/>
      <c r="F29" s="490"/>
      <c r="G29" s="491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99.65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92" t="s">
        <v>50</v>
      </c>
      <c r="D31" s="493"/>
      <c r="E31" s="493"/>
      <c r="F31" s="493"/>
      <c r="G31" s="493"/>
      <c r="H31" s="494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92" t="s">
        <v>52</v>
      </c>
      <c r="D32" s="493"/>
      <c r="E32" s="493"/>
      <c r="F32" s="493"/>
      <c r="G32" s="493"/>
      <c r="H32" s="49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469">
        <v>25</v>
      </c>
      <c r="C36" s="51"/>
      <c r="D36" s="495" t="s">
        <v>56</v>
      </c>
      <c r="E36" s="513"/>
      <c r="F36" s="495" t="s">
        <v>57</v>
      </c>
      <c r="G36" s="49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470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470">
        <v>50</v>
      </c>
      <c r="C38" s="83">
        <v>1</v>
      </c>
      <c r="D38" s="84">
        <v>124813632</v>
      </c>
      <c r="E38" s="85">
        <f>IF(ISBLANK(D38),"-",$D$48/$D$45*D38)</f>
        <v>125565928.87135047</v>
      </c>
      <c r="F38" s="84">
        <v>131333884</v>
      </c>
      <c r="G38" s="86">
        <f>IF(ISBLANK(F38),"-",$D$48/$F$45*F38)</f>
        <v>126240581.49884748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124876893</v>
      </c>
      <c r="E39" s="90">
        <f>IF(ISBLANK(D39),"-",$D$48/$D$45*D39)</f>
        <v>125629571.16826184</v>
      </c>
      <c r="F39" s="89">
        <v>131197917</v>
      </c>
      <c r="G39" s="91">
        <f>IF(ISBLANK(F39),"-",$D$48/$F$45*F39)</f>
        <v>126109887.4797423</v>
      </c>
      <c r="I39" s="497">
        <f>ABS((F43/D43*D42)-F42)/D42</f>
        <v>4.4847449831450781E-3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125109140</v>
      </c>
      <c r="E40" s="90">
        <f>IF(ISBLANK(D40),"-",$D$48/$D$45*D40)</f>
        <v>125863218.00487168</v>
      </c>
      <c r="F40" s="89">
        <v>131420609</v>
      </c>
      <c r="G40" s="91">
        <f>IF(ISBLANK(F40),"-",$D$48/$F$45*F40)</f>
        <v>126323943.18813163</v>
      </c>
      <c r="I40" s="49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124933221.66666667</v>
      </c>
      <c r="E42" s="100">
        <f>AVERAGE(E38:E41)</f>
        <v>125686239.34816132</v>
      </c>
      <c r="F42" s="99">
        <f>AVERAGE(F38:F41)</f>
        <v>131317470</v>
      </c>
      <c r="G42" s="101">
        <f>AVERAGE(G38:G41)</f>
        <v>126224804.05557381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19.95</v>
      </c>
      <c r="E43" s="92"/>
      <c r="F43" s="104">
        <v>20.88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19.95</v>
      </c>
      <c r="E44" s="107"/>
      <c r="F44" s="106">
        <f>F43*$B$34</f>
        <v>20.88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125</v>
      </c>
      <c r="C45" s="105" t="s">
        <v>74</v>
      </c>
      <c r="D45" s="109">
        <f>D44*$B$30/100</f>
        <v>19.880175000000001</v>
      </c>
      <c r="E45" s="110"/>
      <c r="F45" s="109">
        <f>F44*$B$30/100</f>
        <v>20.806920000000002</v>
      </c>
      <c r="H45" s="102"/>
    </row>
    <row r="46" spans="1:14" ht="19.5" customHeight="1" x14ac:dyDescent="0.3">
      <c r="A46" s="483" t="s">
        <v>75</v>
      </c>
      <c r="B46" s="484"/>
      <c r="C46" s="105" t="s">
        <v>76</v>
      </c>
      <c r="D46" s="111">
        <f>D45/$B$45</f>
        <v>0.1590414</v>
      </c>
      <c r="E46" s="112"/>
      <c r="F46" s="113">
        <f>F45/$B$45</f>
        <v>0.16645536000000002</v>
      </c>
      <c r="H46" s="102"/>
    </row>
    <row r="47" spans="1:14" ht="27" customHeight="1" x14ac:dyDescent="0.4">
      <c r="A47" s="485"/>
      <c r="B47" s="486"/>
      <c r="C47" s="114" t="s">
        <v>77</v>
      </c>
      <c r="D47" s="115">
        <v>0.16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125955521.70186758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2.5290625265983781E-3</v>
      </c>
      <c r="F51" s="122"/>
      <c r="H51" s="102"/>
    </row>
    <row r="52" spans="1:12" ht="19.5" customHeight="1" x14ac:dyDescent="0.3">
      <c r="C52" s="124" t="s">
        <v>18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Sulfamethoxazole 400mg, Trimethoprim 80mg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85</v>
      </c>
      <c r="B57" s="220">
        <f>Uniformity!C46</f>
        <v>528.77850000000001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469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470">
        <v>4</v>
      </c>
      <c r="C60" s="500" t="s">
        <v>91</v>
      </c>
      <c r="D60" s="503">
        <v>534.91999999999996</v>
      </c>
      <c r="E60" s="134">
        <v>1</v>
      </c>
      <c r="F60" s="135">
        <v>124793330</v>
      </c>
      <c r="G60" s="221">
        <f>IF(ISBLANK(F60),"-",(F60/$D$50*$D$47*$B$68)*($B$57/$D$60))</f>
        <v>391.75911190276634</v>
      </c>
      <c r="H60" s="136">
        <f t="shared" ref="H60:H71" si="0">IF(ISBLANK(F60),"-",G60/$B$56)</f>
        <v>0.97939777975691589</v>
      </c>
      <c r="L60" s="64"/>
    </row>
    <row r="61" spans="1:12" s="3" customFormat="1" ht="26.25" customHeight="1" x14ac:dyDescent="0.4">
      <c r="A61" s="76" t="s">
        <v>92</v>
      </c>
      <c r="B61" s="470">
        <v>50</v>
      </c>
      <c r="C61" s="501"/>
      <c r="D61" s="504"/>
      <c r="E61" s="137">
        <v>2</v>
      </c>
      <c r="F61" s="89">
        <v>124766447</v>
      </c>
      <c r="G61" s="222">
        <f>IF(ISBLANK(F61),"-",(F61/$D$50*$D$47*$B$68)*($B$57/$D$60))</f>
        <v>391.67471908942224</v>
      </c>
      <c r="H61" s="138">
        <f t="shared" si="0"/>
        <v>0.97918679772355555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01"/>
      <c r="D62" s="504"/>
      <c r="E62" s="137">
        <v>3</v>
      </c>
      <c r="F62" s="139">
        <v>124750663</v>
      </c>
      <c r="G62" s="222">
        <f>IF(ISBLANK(F62),"-",(F62/$D$50*$D$47*$B$68)*($B$57/$D$60))</f>
        <v>391.62516895863985</v>
      </c>
      <c r="H62" s="138">
        <f t="shared" si="0"/>
        <v>0.97906292239659964</v>
      </c>
      <c r="L62" s="64"/>
    </row>
    <row r="63" spans="1:12" ht="27" customHeight="1" x14ac:dyDescent="0.4">
      <c r="A63" s="76" t="s">
        <v>94</v>
      </c>
      <c r="B63" s="77">
        <v>1</v>
      </c>
      <c r="C63" s="511"/>
      <c r="D63" s="50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00" t="s">
        <v>96</v>
      </c>
      <c r="D64" s="503">
        <v>515.88</v>
      </c>
      <c r="E64" s="134">
        <v>1</v>
      </c>
      <c r="F64" s="135">
        <v>120307467</v>
      </c>
      <c r="G64" s="223">
        <f>IF(ISBLANK(F64),"-",(F64/$D$50*$D$47*$B$68)*($B$57/$D$64))</f>
        <v>391.61603023405047</v>
      </c>
      <c r="H64" s="142">
        <f t="shared" si="0"/>
        <v>0.97904007558512618</v>
      </c>
    </row>
    <row r="65" spans="1:8" ht="26.25" customHeight="1" x14ac:dyDescent="0.4">
      <c r="A65" s="76" t="s">
        <v>97</v>
      </c>
      <c r="B65" s="77">
        <v>1</v>
      </c>
      <c r="C65" s="501"/>
      <c r="D65" s="504"/>
      <c r="E65" s="137">
        <v>2</v>
      </c>
      <c r="F65" s="89">
        <v>120291976</v>
      </c>
      <c r="G65" s="224">
        <f>IF(ISBLANK(F65),"-",(F65/$D$50*$D$47*$B$68)*($B$57/$D$64))</f>
        <v>391.56560506863366</v>
      </c>
      <c r="H65" s="143">
        <f t="shared" si="0"/>
        <v>0.97891401267158418</v>
      </c>
    </row>
    <row r="66" spans="1:8" ht="26.25" customHeight="1" x14ac:dyDescent="0.4">
      <c r="A66" s="76" t="s">
        <v>98</v>
      </c>
      <c r="B66" s="77">
        <v>1</v>
      </c>
      <c r="C66" s="501"/>
      <c r="D66" s="504"/>
      <c r="E66" s="137">
        <v>3</v>
      </c>
      <c r="F66" s="89">
        <v>120303945</v>
      </c>
      <c r="G66" s="224">
        <f>IF(ISBLANK(F66),"-",(F66/$D$50*$D$47*$B$68)*($B$57/$D$64))</f>
        <v>391.60456567833438</v>
      </c>
      <c r="H66" s="143">
        <f t="shared" si="0"/>
        <v>0.97901141419583593</v>
      </c>
    </row>
    <row r="67" spans="1:8" ht="27" customHeight="1" x14ac:dyDescent="0.4">
      <c r="A67" s="76" t="s">
        <v>99</v>
      </c>
      <c r="B67" s="77">
        <v>1</v>
      </c>
      <c r="C67" s="511"/>
      <c r="D67" s="50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2500</v>
      </c>
      <c r="C68" s="500" t="s">
        <v>101</v>
      </c>
      <c r="D68" s="503">
        <v>527.94000000000005</v>
      </c>
      <c r="E68" s="134">
        <v>1</v>
      </c>
      <c r="F68" s="135">
        <v>123020316</v>
      </c>
      <c r="G68" s="223">
        <f>IF(ISBLANK(F68),"-",(F68/$D$50*$D$47*$B$68)*($B$57/$D$68))</f>
        <v>391.29909094181863</v>
      </c>
      <c r="H68" s="138">
        <f t="shared" si="0"/>
        <v>0.97824772735454657</v>
      </c>
    </row>
    <row r="69" spans="1:8" ht="27" customHeight="1" x14ac:dyDescent="0.4">
      <c r="A69" s="124" t="s">
        <v>102</v>
      </c>
      <c r="B69" s="146">
        <f>(D47*B68)/B56*B57</f>
        <v>528.77850000000001</v>
      </c>
      <c r="C69" s="501"/>
      <c r="D69" s="504"/>
      <c r="E69" s="137">
        <v>2</v>
      </c>
      <c r="F69" s="89">
        <v>123039031</v>
      </c>
      <c r="G69" s="224">
        <f>IF(ISBLANK(F69),"-",(F69/$D$50*$D$47*$B$68)*($B$57/$D$68))</f>
        <v>391.35861901592125</v>
      </c>
      <c r="H69" s="138">
        <f t="shared" si="0"/>
        <v>0.9783965475398031</v>
      </c>
    </row>
    <row r="70" spans="1:8" ht="26.25" customHeight="1" x14ac:dyDescent="0.4">
      <c r="A70" s="506" t="s">
        <v>75</v>
      </c>
      <c r="B70" s="507"/>
      <c r="C70" s="501"/>
      <c r="D70" s="504"/>
      <c r="E70" s="137">
        <v>3</v>
      </c>
      <c r="F70" s="89">
        <v>123055041</v>
      </c>
      <c r="G70" s="224">
        <f>IF(ISBLANK(F70),"-",(F70/$D$50*$D$47*$B$68)*($B$57/$D$68))</f>
        <v>391.40954311244184</v>
      </c>
      <c r="H70" s="138">
        <f t="shared" si="0"/>
        <v>0.97852385778110462</v>
      </c>
    </row>
    <row r="71" spans="1:8" ht="27" customHeight="1" x14ac:dyDescent="0.4">
      <c r="A71" s="508"/>
      <c r="B71" s="509"/>
      <c r="C71" s="502"/>
      <c r="D71" s="50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391.5458282224476</v>
      </c>
      <c r="H72" s="151">
        <f>AVERAGE(H60:H71)</f>
        <v>0.97886457055611897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3.9531802426928219E-4</v>
      </c>
      <c r="H73" s="226">
        <f>STDEV(H60:H71)/H72</f>
        <v>3.9531802426929027E-4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18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87" t="str">
        <f>B20</f>
        <v xml:space="preserve">Sulfamethoxazole </v>
      </c>
      <c r="D76" s="487"/>
      <c r="E76" s="157" t="s">
        <v>105</v>
      </c>
      <c r="F76" s="157"/>
      <c r="G76" s="158">
        <f>H72</f>
        <v>0.97886457055611897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10" t="str">
        <f>B26</f>
        <v>Sulphamethoxazole</v>
      </c>
      <c r="C79" s="510"/>
    </row>
    <row r="80" spans="1:8" ht="26.25" customHeight="1" x14ac:dyDescent="0.4">
      <c r="A80" s="61" t="s">
        <v>45</v>
      </c>
      <c r="B80" s="510" t="str">
        <f>B27</f>
        <v>S 12 4</v>
      </c>
      <c r="C80" s="510"/>
    </row>
    <row r="81" spans="1:12" ht="27" customHeight="1" x14ac:dyDescent="0.4">
      <c r="A81" s="61" t="s">
        <v>5</v>
      </c>
      <c r="B81" s="160">
        <f>B28</f>
        <v>99.65</v>
      </c>
    </row>
    <row r="82" spans="1:12" s="3" customFormat="1" ht="27" customHeight="1" x14ac:dyDescent="0.4">
      <c r="A82" s="61" t="s">
        <v>46</v>
      </c>
      <c r="B82" s="63">
        <v>0</v>
      </c>
      <c r="C82" s="489" t="s">
        <v>47</v>
      </c>
      <c r="D82" s="490"/>
      <c r="E82" s="490"/>
      <c r="F82" s="490"/>
      <c r="G82" s="491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99.65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92" t="s">
        <v>108</v>
      </c>
      <c r="D84" s="493"/>
      <c r="E84" s="493"/>
      <c r="F84" s="493"/>
      <c r="G84" s="493"/>
      <c r="H84" s="494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92" t="s">
        <v>109</v>
      </c>
      <c r="D85" s="493"/>
      <c r="E85" s="493"/>
      <c r="F85" s="493"/>
      <c r="G85" s="493"/>
      <c r="H85" s="49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61" t="s">
        <v>56</v>
      </c>
      <c r="E89" s="162"/>
      <c r="F89" s="495" t="s">
        <v>57</v>
      </c>
      <c r="G89" s="496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50</v>
      </c>
      <c r="C91" s="165">
        <v>1</v>
      </c>
      <c r="D91" s="267">
        <v>124532956</v>
      </c>
      <c r="E91" s="85">
        <f>IF(ISBLANK(D91),"-",$D$101/$D$98*D91)</f>
        <v>139203956.8173933</v>
      </c>
      <c r="F91" s="267">
        <v>129060759</v>
      </c>
      <c r="G91" s="86">
        <f>IF(ISBLANK(F91),"-",$D$101/$F$98*F91)</f>
        <v>137839568.11804277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272">
        <v>124669583</v>
      </c>
      <c r="E92" s="90">
        <f>IF(ISBLANK(D92),"-",$D$101/$D$98*D92)</f>
        <v>139356679.59551552</v>
      </c>
      <c r="F92" s="272">
        <v>128770372</v>
      </c>
      <c r="G92" s="91">
        <f>IF(ISBLANK(F92),"-",$D$101/$F$98*F92)</f>
        <v>137529428.77764809</v>
      </c>
      <c r="I92" s="497">
        <f>ABS((F96/D96*D95)-F95)/D95</f>
        <v>1.1475901469175879E-2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272">
        <v>124300506</v>
      </c>
      <c r="E93" s="90">
        <f>IF(ISBLANK(D93),"-",$D$101/$D$98*D93)</f>
        <v>138944122.30609974</v>
      </c>
      <c r="F93" s="272">
        <v>128797050</v>
      </c>
      <c r="G93" s="91">
        <f>IF(ISBLANK(F93),"-",$D$101/$F$98*F93)</f>
        <v>137557921.43511227</v>
      </c>
      <c r="I93" s="49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124501015</v>
      </c>
      <c r="E95" s="100">
        <f>AVERAGE(E91:E94)</f>
        <v>139168252.90633619</v>
      </c>
      <c r="F95" s="170">
        <f>AVERAGE(F91:F94)</f>
        <v>128876060.33333333</v>
      </c>
      <c r="G95" s="171">
        <f>AVERAGE(G91:G94)</f>
        <v>137642306.11026773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19.95</v>
      </c>
      <c r="E96" s="92"/>
      <c r="F96" s="104">
        <v>20.88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19.95</v>
      </c>
      <c r="E97" s="107"/>
      <c r="F97" s="106">
        <f>F96*$B$87</f>
        <v>20.88</v>
      </c>
    </row>
    <row r="98" spans="1:10" ht="19.5" customHeight="1" x14ac:dyDescent="0.3">
      <c r="A98" s="76" t="s">
        <v>73</v>
      </c>
      <c r="B98" s="176">
        <f>(B97/B96)*(B95/B94)*(B93/B92)*(B91/B90)*B89</f>
        <v>125</v>
      </c>
      <c r="C98" s="174" t="s">
        <v>112</v>
      </c>
      <c r="D98" s="177">
        <f>D97*$B$83/100</f>
        <v>19.880175000000001</v>
      </c>
      <c r="E98" s="110"/>
      <c r="F98" s="109">
        <f>F97*$B$83/100</f>
        <v>20.806920000000002</v>
      </c>
    </row>
    <row r="99" spans="1:10" ht="19.5" customHeight="1" x14ac:dyDescent="0.3">
      <c r="A99" s="483" t="s">
        <v>75</v>
      </c>
      <c r="B99" s="498"/>
      <c r="C99" s="174" t="s">
        <v>113</v>
      </c>
      <c r="D99" s="178">
        <f>D98/$B$98</f>
        <v>0.1590414</v>
      </c>
      <c r="E99" s="110"/>
      <c r="F99" s="113">
        <f>F98/$B$98</f>
        <v>0.16645536000000002</v>
      </c>
      <c r="G99" s="179"/>
      <c r="H99" s="102"/>
    </row>
    <row r="100" spans="1:10" ht="19.5" customHeight="1" x14ac:dyDescent="0.3">
      <c r="A100" s="485"/>
      <c r="B100" s="499"/>
      <c r="C100" s="174" t="s">
        <v>77</v>
      </c>
      <c r="D100" s="180">
        <f>$B$56/$B$116</f>
        <v>0.17777777777777778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138405279.50830194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6.1634948127435142E-3</v>
      </c>
      <c r="F104" s="122"/>
      <c r="G104" s="179"/>
      <c r="H104" s="102"/>
      <c r="J104" s="188"/>
    </row>
    <row r="105" spans="1:10" ht="19.5" customHeight="1" x14ac:dyDescent="0.3">
      <c r="C105" s="154" t="s">
        <v>18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4</v>
      </c>
      <c r="C108" s="195">
        <v>1</v>
      </c>
      <c r="D108" s="196">
        <v>135803072</v>
      </c>
      <c r="E108" s="227">
        <f t="shared" ref="E108:E113" si="1">IF(ISBLANK(D108),"-",D108/$D$103*$D$100*$B$116)</f>
        <v>392.47945593536161</v>
      </c>
      <c r="F108" s="197">
        <f t="shared" ref="F108:F113" si="2">IF(ISBLANK(D108), "-", E108/$B$56)</f>
        <v>0.98119863983840405</v>
      </c>
    </row>
    <row r="109" spans="1:10" ht="26.25" customHeight="1" x14ac:dyDescent="0.4">
      <c r="A109" s="76" t="s">
        <v>92</v>
      </c>
      <c r="B109" s="77">
        <v>10</v>
      </c>
      <c r="C109" s="195">
        <v>2</v>
      </c>
      <c r="D109" s="196">
        <v>130417752</v>
      </c>
      <c r="E109" s="228">
        <f t="shared" si="1"/>
        <v>376.91554097740084</v>
      </c>
      <c r="F109" s="198">
        <f t="shared" si="2"/>
        <v>0.94228885244350213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132936685</v>
      </c>
      <c r="E110" s="228">
        <f t="shared" si="1"/>
        <v>384.19541645310164</v>
      </c>
      <c r="F110" s="198">
        <f t="shared" si="2"/>
        <v>0.96048854113275406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135050128</v>
      </c>
      <c r="E111" s="228">
        <f t="shared" si="1"/>
        <v>390.30340021646157</v>
      </c>
      <c r="F111" s="198">
        <f t="shared" si="2"/>
        <v>0.97575850054115387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132193452</v>
      </c>
      <c r="E112" s="228">
        <f t="shared" si="1"/>
        <v>382.04742613758651</v>
      </c>
      <c r="F112" s="198">
        <f t="shared" si="2"/>
        <v>0.95511856534396633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132890011</v>
      </c>
      <c r="E113" s="229">
        <f t="shared" si="1"/>
        <v>384.0605256449885</v>
      </c>
      <c r="F113" s="201">
        <f t="shared" si="2"/>
        <v>0.96015131411247123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385.00029422748344</v>
      </c>
      <c r="F115" s="204">
        <f>AVERAGE(F108:F113)</f>
        <v>0.96250073556870852</v>
      </c>
    </row>
    <row r="116" spans="1:10" ht="27" customHeight="1" x14ac:dyDescent="0.4">
      <c r="A116" s="76" t="s">
        <v>100</v>
      </c>
      <c r="B116" s="108">
        <f>(B115/B114)*(B113/B112)*(B111/B110)*(B109/B108)*B107</f>
        <v>2250</v>
      </c>
      <c r="C116" s="205"/>
      <c r="D116" s="168" t="s">
        <v>81</v>
      </c>
      <c r="E116" s="206">
        <f>STDEV(E108:E113)/E115</f>
        <v>1.4678161188668944E-2</v>
      </c>
      <c r="F116" s="206">
        <f>STDEV(F108:F113)/F115</f>
        <v>1.4678161188668923E-2</v>
      </c>
      <c r="I116" s="50"/>
    </row>
    <row r="117" spans="1:10" ht="27" customHeight="1" x14ac:dyDescent="0.4">
      <c r="A117" s="483" t="s">
        <v>75</v>
      </c>
      <c r="B117" s="484"/>
      <c r="C117" s="207"/>
      <c r="D117" s="208" t="s">
        <v>18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85"/>
      <c r="B118" s="48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87" t="str">
        <f>B20</f>
        <v xml:space="preserve">Sulfamethoxazole </v>
      </c>
      <c r="D120" s="487"/>
      <c r="E120" s="157" t="s">
        <v>121</v>
      </c>
      <c r="F120" s="157"/>
      <c r="G120" s="158">
        <f>F115</f>
        <v>0.96250073556870852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88" t="s">
        <v>23</v>
      </c>
      <c r="C122" s="488"/>
      <c r="E122" s="163" t="s">
        <v>24</v>
      </c>
      <c r="F122" s="212"/>
      <c r="G122" s="488" t="s">
        <v>25</v>
      </c>
      <c r="H122" s="488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399" t="s">
        <v>132</v>
      </c>
      <c r="D124" s="362"/>
      <c r="E124" s="521">
        <v>42380</v>
      </c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11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42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43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233"/>
    </row>
    <row r="16" spans="1:9" ht="19.5" customHeight="1" x14ac:dyDescent="0.3">
      <c r="A16" s="515" t="s">
        <v>28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44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235" t="s">
        <v>30</v>
      </c>
      <c r="B18" s="519" t="s">
        <v>131</v>
      </c>
      <c r="C18" s="519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130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20" t="s">
        <v>129</v>
      </c>
      <c r="C20" s="520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20" t="s">
        <v>9</v>
      </c>
      <c r="C21" s="520"/>
      <c r="D21" s="520"/>
      <c r="E21" s="520"/>
      <c r="F21" s="520"/>
      <c r="G21" s="520"/>
      <c r="H21" s="520"/>
      <c r="I21" s="239"/>
    </row>
    <row r="22" spans="1:14" ht="26.25" customHeight="1" x14ac:dyDescent="0.4">
      <c r="A22" s="235" t="s">
        <v>34</v>
      </c>
      <c r="B22" s="240" t="s">
        <v>10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14" t="s">
        <v>124</v>
      </c>
      <c r="C26" s="514"/>
    </row>
    <row r="27" spans="1:14" ht="26.25" customHeight="1" x14ac:dyDescent="0.4">
      <c r="A27" s="244" t="s">
        <v>45</v>
      </c>
      <c r="B27" s="512" t="s">
        <v>128</v>
      </c>
      <c r="C27" s="512"/>
    </row>
    <row r="28" spans="1:14" ht="27" customHeight="1" x14ac:dyDescent="0.4">
      <c r="A28" s="244" t="s">
        <v>5</v>
      </c>
      <c r="B28" s="245">
        <v>99.3</v>
      </c>
    </row>
    <row r="29" spans="1:14" s="3" customFormat="1" ht="27" customHeight="1" x14ac:dyDescent="0.4">
      <c r="A29" s="244" t="s">
        <v>46</v>
      </c>
      <c r="B29" s="246">
        <v>0</v>
      </c>
      <c r="C29" s="489" t="s">
        <v>47</v>
      </c>
      <c r="D29" s="490"/>
      <c r="E29" s="490"/>
      <c r="F29" s="490"/>
      <c r="G29" s="491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99.3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92" t="s">
        <v>50</v>
      </c>
      <c r="D31" s="493"/>
      <c r="E31" s="493"/>
      <c r="F31" s="493"/>
      <c r="G31" s="493"/>
      <c r="H31" s="494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92" t="s">
        <v>52</v>
      </c>
      <c r="D32" s="493"/>
      <c r="E32" s="493"/>
      <c r="F32" s="493"/>
      <c r="G32" s="493"/>
      <c r="H32" s="494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25</v>
      </c>
      <c r="C36" s="234"/>
      <c r="D36" s="495" t="s">
        <v>56</v>
      </c>
      <c r="E36" s="513"/>
      <c r="F36" s="495" t="s">
        <v>57</v>
      </c>
      <c r="G36" s="496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2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50</v>
      </c>
      <c r="C38" s="266">
        <v>1</v>
      </c>
      <c r="D38" s="267">
        <v>9080082</v>
      </c>
      <c r="E38" s="268">
        <f>IF(ISBLANK(D38),"-",$D$48/$D$45*D38)</f>
        <v>9544979.7854291108</v>
      </c>
      <c r="F38" s="267">
        <v>9825490</v>
      </c>
      <c r="G38" s="269">
        <f>IF(ISBLANK(F38),"-",$D$48/$F$45*F38)</f>
        <v>9667565.4840355385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9083526</v>
      </c>
      <c r="E39" s="273">
        <f>IF(ISBLANK(D39),"-",$D$48/$D$45*D39)</f>
        <v>9548600.1173138898</v>
      </c>
      <c r="F39" s="272">
        <v>9815050</v>
      </c>
      <c r="G39" s="274">
        <f>IF(ISBLANK(F39),"-",$D$48/$F$45*F39)</f>
        <v>9657293.2855341565</v>
      </c>
      <c r="I39" s="497">
        <f>ABS((F43/D43*D42)-F42)/D42</f>
        <v>1.2561333811867307E-2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9080206</v>
      </c>
      <c r="E40" s="273">
        <f>IF(ISBLANK(D40),"-",$D$48/$D$45*D40)</f>
        <v>9545110.1341961585</v>
      </c>
      <c r="F40" s="272">
        <v>9808196</v>
      </c>
      <c r="G40" s="274">
        <f>IF(ISBLANK(F40),"-",$D$48/$F$45*F40)</f>
        <v>9650549.4494682122</v>
      </c>
      <c r="I40" s="497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9081271.333333334</v>
      </c>
      <c r="E42" s="283">
        <f>AVERAGE(E38:E41)</f>
        <v>9546230.012313053</v>
      </c>
      <c r="F42" s="282">
        <f>AVERAGE(F38:F41)</f>
        <v>9816245.333333334</v>
      </c>
      <c r="G42" s="284">
        <f>AVERAGE(G38:G41)</f>
        <v>9658469.4063459691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19.16</v>
      </c>
      <c r="E43" s="275"/>
      <c r="F43" s="287">
        <v>20.47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19.16</v>
      </c>
      <c r="E44" s="290"/>
      <c r="F44" s="289">
        <f>F43*$B$34</f>
        <v>20.47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625</v>
      </c>
      <c r="C45" s="288" t="s">
        <v>74</v>
      </c>
      <c r="D45" s="292">
        <f>D44*$B$30/100</f>
        <v>19.025880000000001</v>
      </c>
      <c r="E45" s="293"/>
      <c r="F45" s="292">
        <f>F44*$B$30/100</f>
        <v>20.326709999999999</v>
      </c>
      <c r="H45" s="285"/>
    </row>
    <row r="46" spans="1:14" ht="19.5" customHeight="1" x14ac:dyDescent="0.3">
      <c r="A46" s="483" t="s">
        <v>75</v>
      </c>
      <c r="B46" s="484"/>
      <c r="C46" s="288" t="s">
        <v>76</v>
      </c>
      <c r="D46" s="294">
        <f>D45/$B$45</f>
        <v>3.0441408E-2</v>
      </c>
      <c r="E46" s="295"/>
      <c r="F46" s="296">
        <f>F45/$B$45</f>
        <v>3.2522735999999997E-2</v>
      </c>
      <c r="H46" s="285"/>
    </row>
    <row r="47" spans="1:14" ht="27" customHeight="1" x14ac:dyDescent="0.4">
      <c r="A47" s="485"/>
      <c r="B47" s="486"/>
      <c r="C47" s="297" t="s">
        <v>77</v>
      </c>
      <c r="D47" s="298">
        <v>3.2000000000000001E-2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20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9602349.7093295101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6.4284391614904696E-3</v>
      </c>
      <c r="F51" s="305"/>
      <c r="H51" s="285"/>
    </row>
    <row r="52" spans="1:12" ht="19.5" customHeight="1" x14ac:dyDescent="0.3">
      <c r="C52" s="307" t="s">
        <v>18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Sulfamethoxazole 400mg, Trimethoprim 80mg</v>
      </c>
    </row>
    <row r="56" spans="1:12" ht="26.25" customHeight="1" x14ac:dyDescent="0.4">
      <c r="A56" s="312" t="s">
        <v>84</v>
      </c>
      <c r="B56" s="313">
        <v>80</v>
      </c>
      <c r="C56" s="234" t="str">
        <f>B20</f>
        <v xml:space="preserve"> Trimethoprim</v>
      </c>
      <c r="H56" s="314"/>
    </row>
    <row r="57" spans="1:12" ht="18.75" x14ac:dyDescent="0.3">
      <c r="A57" s="311" t="s">
        <v>85</v>
      </c>
      <c r="B57" s="403">
        <f>Uniformity!C46</f>
        <v>528.77850000000001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469">
        <v>200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470">
        <v>4</v>
      </c>
      <c r="C60" s="500" t="s">
        <v>91</v>
      </c>
      <c r="D60" s="503">
        <f>SULPHAMETHOXAZOLE!D60</f>
        <v>534.91999999999996</v>
      </c>
      <c r="E60" s="317">
        <v>1</v>
      </c>
      <c r="F60" s="318">
        <v>9508249</v>
      </c>
      <c r="G60" s="404">
        <f>IF(ISBLANK(F60),"-",(F60/$D$50*$D$47*$B$68)*($B$57/$D$60))</f>
        <v>78.306527830243922</v>
      </c>
      <c r="H60" s="319">
        <f t="shared" ref="H60:H71" si="0">IF(ISBLANK(F60),"-",G60/$B$56)</f>
        <v>0.97883159787804908</v>
      </c>
      <c r="L60" s="247"/>
    </row>
    <row r="61" spans="1:12" s="3" customFormat="1" ht="26.25" customHeight="1" x14ac:dyDescent="0.4">
      <c r="A61" s="259" t="s">
        <v>92</v>
      </c>
      <c r="B61" s="470">
        <v>50</v>
      </c>
      <c r="C61" s="501"/>
      <c r="D61" s="504"/>
      <c r="E61" s="320">
        <v>2</v>
      </c>
      <c r="F61" s="272">
        <v>9512361</v>
      </c>
      <c r="G61" s="405">
        <f>IF(ISBLANK(F61),"-",(F61/$D$50*$D$47*$B$68)*($B$57/$D$60))</f>
        <v>78.340392787129019</v>
      </c>
      <c r="H61" s="321">
        <f t="shared" si="0"/>
        <v>0.97925490983911279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501"/>
      <c r="D62" s="504"/>
      <c r="E62" s="320">
        <v>3</v>
      </c>
      <c r="F62" s="322">
        <v>9510681</v>
      </c>
      <c r="G62" s="405">
        <f>IF(ISBLANK(F62),"-",(F62/$D$50*$D$47*$B$68)*($B$57/$D$60))</f>
        <v>78.32655690980242</v>
      </c>
      <c r="H62" s="321">
        <f t="shared" si="0"/>
        <v>0.97908196137253023</v>
      </c>
      <c r="L62" s="247"/>
    </row>
    <row r="63" spans="1:12" ht="27" customHeight="1" x14ac:dyDescent="0.4">
      <c r="A63" s="259" t="s">
        <v>94</v>
      </c>
      <c r="B63" s="260">
        <v>1</v>
      </c>
      <c r="C63" s="511"/>
      <c r="D63" s="505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500" t="s">
        <v>96</v>
      </c>
      <c r="D64" s="503">
        <f>SULPHAMETHOXAZOLE!D64</f>
        <v>515.88</v>
      </c>
      <c r="E64" s="317">
        <v>1</v>
      </c>
      <c r="F64" s="318">
        <v>9130918</v>
      </c>
      <c r="G64" s="406">
        <f>IF(ISBLANK(F64),"-",(F64/$D$50*$D$47*$B$68)*($B$57/$D$64))</f>
        <v>77.974394041885844</v>
      </c>
      <c r="H64" s="325">
        <f t="shared" si="0"/>
        <v>0.97467992552357308</v>
      </c>
    </row>
    <row r="65" spans="1:8" ht="26.25" customHeight="1" x14ac:dyDescent="0.4">
      <c r="A65" s="259" t="s">
        <v>97</v>
      </c>
      <c r="B65" s="260">
        <v>1</v>
      </c>
      <c r="C65" s="501"/>
      <c r="D65" s="504"/>
      <c r="E65" s="320">
        <v>2</v>
      </c>
      <c r="F65" s="272">
        <v>9130339</v>
      </c>
      <c r="G65" s="407">
        <f>IF(ISBLANK(F65),"-",(F65/$D$50*$D$47*$B$68)*($B$57/$D$64))</f>
        <v>77.969449613061698</v>
      </c>
      <c r="H65" s="326">
        <f t="shared" si="0"/>
        <v>0.97461812016327121</v>
      </c>
    </row>
    <row r="66" spans="1:8" ht="26.25" customHeight="1" x14ac:dyDescent="0.4">
      <c r="A66" s="259" t="s">
        <v>98</v>
      </c>
      <c r="B66" s="260">
        <v>1</v>
      </c>
      <c r="C66" s="501"/>
      <c r="D66" s="504"/>
      <c r="E66" s="320">
        <v>3</v>
      </c>
      <c r="F66" s="272">
        <v>9134810</v>
      </c>
      <c r="G66" s="407">
        <f>IF(ISBLANK(F66),"-",(F66/$D$50*$D$47*$B$68)*($B$57/$D$64))</f>
        <v>78.007630167937037</v>
      </c>
      <c r="H66" s="326">
        <f t="shared" si="0"/>
        <v>0.97509537709921301</v>
      </c>
    </row>
    <row r="67" spans="1:8" ht="27" customHeight="1" x14ac:dyDescent="0.4">
      <c r="A67" s="259" t="s">
        <v>99</v>
      </c>
      <c r="B67" s="260">
        <v>1</v>
      </c>
      <c r="C67" s="511"/>
      <c r="D67" s="505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2500</v>
      </c>
      <c r="C68" s="500" t="s">
        <v>101</v>
      </c>
      <c r="D68" s="503">
        <f>SULPHAMETHOXAZOLE!D68</f>
        <v>527.94000000000005</v>
      </c>
      <c r="E68" s="317">
        <v>1</v>
      </c>
      <c r="F68" s="318">
        <v>9335354</v>
      </c>
      <c r="G68" s="406">
        <f>IF(ISBLANK(F68),"-",(F68/$D$50*$D$47*$B$68)*($B$57/$D$68))</f>
        <v>77.89910716906931</v>
      </c>
      <c r="H68" s="321">
        <f t="shared" si="0"/>
        <v>0.97373883961336638</v>
      </c>
    </row>
    <row r="69" spans="1:8" ht="27" customHeight="1" x14ac:dyDescent="0.4">
      <c r="A69" s="307" t="s">
        <v>102</v>
      </c>
      <c r="B69" s="329">
        <f>(D47*B68)/B56*B57</f>
        <v>528.77850000000001</v>
      </c>
      <c r="C69" s="501"/>
      <c r="D69" s="504"/>
      <c r="E69" s="320">
        <v>2</v>
      </c>
      <c r="F69" s="272">
        <v>9324719</v>
      </c>
      <c r="G69" s="407">
        <f>IF(ISBLANK(F69),"-",(F69/$D$50*$D$47*$B$68)*($B$57/$D$68))</f>
        <v>77.810363131645232</v>
      </c>
      <c r="H69" s="321">
        <f t="shared" si="0"/>
        <v>0.97262953914556538</v>
      </c>
    </row>
    <row r="70" spans="1:8" ht="26.25" customHeight="1" x14ac:dyDescent="0.4">
      <c r="A70" s="506" t="s">
        <v>75</v>
      </c>
      <c r="B70" s="507"/>
      <c r="C70" s="501"/>
      <c r="D70" s="504"/>
      <c r="E70" s="320">
        <v>3</v>
      </c>
      <c r="F70" s="272">
        <v>9346202</v>
      </c>
      <c r="G70" s="407">
        <f>IF(ISBLANK(F70),"-",(F70/$D$50*$D$47*$B$68)*($B$57/$D$68))</f>
        <v>77.989628590599764</v>
      </c>
      <c r="H70" s="321">
        <f t="shared" si="0"/>
        <v>0.97487035738249705</v>
      </c>
    </row>
    <row r="71" spans="1:8" ht="27" customHeight="1" x14ac:dyDescent="0.4">
      <c r="A71" s="508"/>
      <c r="B71" s="509"/>
      <c r="C71" s="502"/>
      <c r="D71" s="505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78.069338915708244</v>
      </c>
      <c r="H72" s="334">
        <f>AVERAGE(H60:H71)</f>
        <v>0.97586673644635313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2.5661897591013451E-3</v>
      </c>
      <c r="H73" s="409">
        <f>STDEV(H60:H71)/H72</f>
        <v>2.5661897591013577E-3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18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487" t="str">
        <f>B20</f>
        <v xml:space="preserve"> Trimethoprim</v>
      </c>
      <c r="D76" s="487"/>
      <c r="E76" s="340" t="s">
        <v>105</v>
      </c>
      <c r="F76" s="340"/>
      <c r="G76" s="341">
        <f>H72</f>
        <v>0.97586673644635313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10" t="str">
        <f>B26</f>
        <v>Trimethoprim</v>
      </c>
      <c r="C79" s="510"/>
    </row>
    <row r="80" spans="1:8" ht="26.25" customHeight="1" x14ac:dyDescent="0.4">
      <c r="A80" s="244" t="s">
        <v>45</v>
      </c>
      <c r="B80" s="510" t="str">
        <f>B27</f>
        <v>T14 9</v>
      </c>
      <c r="C80" s="510"/>
    </row>
    <row r="81" spans="1:12" ht="27" customHeight="1" x14ac:dyDescent="0.4">
      <c r="A81" s="244" t="s">
        <v>5</v>
      </c>
      <c r="B81" s="343">
        <f>B28</f>
        <v>99.3</v>
      </c>
    </row>
    <row r="82" spans="1:12" s="3" customFormat="1" ht="27" customHeight="1" x14ac:dyDescent="0.4">
      <c r="A82" s="244" t="s">
        <v>46</v>
      </c>
      <c r="B82" s="246">
        <v>0</v>
      </c>
      <c r="C82" s="489" t="s">
        <v>47</v>
      </c>
      <c r="D82" s="490"/>
      <c r="E82" s="490"/>
      <c r="F82" s="490"/>
      <c r="G82" s="491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99.3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92" t="s">
        <v>108</v>
      </c>
      <c r="D84" s="493"/>
      <c r="E84" s="493"/>
      <c r="F84" s="493"/>
      <c r="G84" s="493"/>
      <c r="H84" s="494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92" t="s">
        <v>109</v>
      </c>
      <c r="D85" s="493"/>
      <c r="E85" s="493"/>
      <c r="F85" s="493"/>
      <c r="G85" s="493"/>
      <c r="H85" s="494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25</v>
      </c>
      <c r="D89" s="344" t="s">
        <v>56</v>
      </c>
      <c r="E89" s="345"/>
      <c r="F89" s="495" t="s">
        <v>57</v>
      </c>
      <c r="G89" s="496"/>
    </row>
    <row r="90" spans="1:12" ht="27" customHeight="1" x14ac:dyDescent="0.4">
      <c r="A90" s="259" t="s">
        <v>58</v>
      </c>
      <c r="B90" s="260">
        <v>2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50</v>
      </c>
      <c r="C91" s="348">
        <v>1</v>
      </c>
      <c r="D91" s="267">
        <v>9347003</v>
      </c>
      <c r="E91" s="268">
        <f>IF(ISBLANK(D91),"-",$D$101/$D$98*D91)</f>
        <v>10917296.744107382</v>
      </c>
      <c r="F91" s="267">
        <v>9928084</v>
      </c>
      <c r="G91" s="269">
        <f>IF(ISBLANK(F91),"-",$D$101/$F$98*F91)</f>
        <v>10853900.551977616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9358646</v>
      </c>
      <c r="E92" s="273">
        <f>IF(ISBLANK(D92),"-",$D$101/$D$98*D92)</f>
        <v>10930895.764669551</v>
      </c>
      <c r="F92" s="272">
        <v>9926611</v>
      </c>
      <c r="G92" s="274">
        <f>IF(ISBLANK(F92),"-",$D$101/$F$98*F92)</f>
        <v>10852290.191356869</v>
      </c>
      <c r="I92" s="497">
        <f>ABS((F96/D96*D95)-F95)/D95</f>
        <v>6.7432071637389601E-3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9347440</v>
      </c>
      <c r="E93" s="273">
        <f>IF(ISBLANK(D93),"-",$D$101/$D$98*D93)</f>
        <v>10917807.159978351</v>
      </c>
      <c r="F93" s="272">
        <v>9927261</v>
      </c>
      <c r="G93" s="274">
        <f>IF(ISBLANK(F93),"-",$D$101/$F$98*F93)</f>
        <v>10853000.805344298</v>
      </c>
      <c r="I93" s="497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9351029.666666666</v>
      </c>
      <c r="E95" s="283">
        <f>AVERAGE(E91:E94)</f>
        <v>10921999.889585095</v>
      </c>
      <c r="F95" s="353">
        <f>AVERAGE(F91:F94)</f>
        <v>9927318.666666666</v>
      </c>
      <c r="G95" s="354">
        <f>AVERAGE(G91:G94)</f>
        <v>10853063.849559596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19.16</v>
      </c>
      <c r="E96" s="275"/>
      <c r="F96" s="287">
        <v>20.47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19.16</v>
      </c>
      <c r="E97" s="290"/>
      <c r="F97" s="289">
        <f>F96*$B$87</f>
        <v>20.47</v>
      </c>
    </row>
    <row r="98" spans="1:10" ht="19.5" customHeight="1" x14ac:dyDescent="0.3">
      <c r="A98" s="259" t="s">
        <v>73</v>
      </c>
      <c r="B98" s="359">
        <f>(B97/B96)*(B95/B94)*(B93/B92)*(B91/B90)*B89</f>
        <v>625</v>
      </c>
      <c r="C98" s="357" t="s">
        <v>112</v>
      </c>
      <c r="D98" s="360">
        <f>D97*$B$83/100</f>
        <v>19.025880000000001</v>
      </c>
      <c r="E98" s="293"/>
      <c r="F98" s="292">
        <f>F97*$B$83/100</f>
        <v>20.326709999999999</v>
      </c>
    </row>
    <row r="99" spans="1:10" ht="19.5" customHeight="1" x14ac:dyDescent="0.3">
      <c r="A99" s="483" t="s">
        <v>75</v>
      </c>
      <c r="B99" s="498"/>
      <c r="C99" s="357" t="s">
        <v>113</v>
      </c>
      <c r="D99" s="361">
        <f>D98/$B$98</f>
        <v>3.0441408E-2</v>
      </c>
      <c r="E99" s="293"/>
      <c r="F99" s="296">
        <f>F98/$B$98</f>
        <v>3.2522735999999997E-2</v>
      </c>
      <c r="G99" s="362"/>
      <c r="H99" s="285"/>
    </row>
    <row r="100" spans="1:10" ht="19.5" customHeight="1" x14ac:dyDescent="0.3">
      <c r="A100" s="485"/>
      <c r="B100" s="499"/>
      <c r="C100" s="357" t="s">
        <v>77</v>
      </c>
      <c r="D100" s="363">
        <f>$B$56/$B$116</f>
        <v>3.5555555555555556E-2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10887531.869572343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3.4970895966975808E-3</v>
      </c>
      <c r="F104" s="305"/>
      <c r="G104" s="362"/>
      <c r="H104" s="285"/>
      <c r="J104" s="371"/>
    </row>
    <row r="105" spans="1:10" ht="19.5" customHeight="1" x14ac:dyDescent="0.3">
      <c r="C105" s="337" t="s">
        <v>18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4</v>
      </c>
      <c r="C108" s="378">
        <v>1</v>
      </c>
      <c r="D108" s="379">
        <v>10762183</v>
      </c>
      <c r="E108" s="410">
        <f t="shared" ref="E108:E113" si="1">IF(ISBLANK(D108),"-",D108/$D$103*$D$100*$B$116)</f>
        <v>79.078954745123397</v>
      </c>
      <c r="F108" s="380">
        <f t="shared" ref="F108:F113" si="2">IF(ISBLANK(D108), "-", E108/$B$56)</f>
        <v>0.98848693431404244</v>
      </c>
    </row>
    <row r="109" spans="1:10" ht="26.25" customHeight="1" x14ac:dyDescent="0.4">
      <c r="A109" s="259" t="s">
        <v>92</v>
      </c>
      <c r="B109" s="260">
        <v>10</v>
      </c>
      <c r="C109" s="378">
        <v>2</v>
      </c>
      <c r="D109" s="379">
        <v>10294515</v>
      </c>
      <c r="E109" s="411">
        <f t="shared" si="1"/>
        <v>75.642598328609907</v>
      </c>
      <c r="F109" s="381">
        <f t="shared" si="2"/>
        <v>0.94553247910762384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10383888</v>
      </c>
      <c r="E110" s="411">
        <f t="shared" si="1"/>
        <v>76.299298128495835</v>
      </c>
      <c r="F110" s="381">
        <f t="shared" si="2"/>
        <v>0.95374122660619798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10681732</v>
      </c>
      <c r="E111" s="411">
        <f t="shared" si="1"/>
        <v>78.487812503052254</v>
      </c>
      <c r="F111" s="381">
        <f t="shared" si="2"/>
        <v>0.98109765628815315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10337499</v>
      </c>
      <c r="E112" s="411">
        <f t="shared" si="1"/>
        <v>75.958438506273154</v>
      </c>
      <c r="F112" s="381">
        <f t="shared" si="2"/>
        <v>0.94948048132841445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10413823</v>
      </c>
      <c r="E113" s="412">
        <f t="shared" si="1"/>
        <v>76.519256152838608</v>
      </c>
      <c r="F113" s="384">
        <f t="shared" si="2"/>
        <v>0.95649070191048258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76.997726394065523</v>
      </c>
      <c r="F115" s="387">
        <f>AVERAGE(F108:F113)</f>
        <v>0.96247157992581911</v>
      </c>
    </row>
    <row r="116" spans="1:10" ht="27" customHeight="1" x14ac:dyDescent="0.4">
      <c r="A116" s="259" t="s">
        <v>100</v>
      </c>
      <c r="B116" s="291">
        <f>(B115/B114)*(B113/B112)*(B111/B110)*(B109/B108)*B107</f>
        <v>2250</v>
      </c>
      <c r="C116" s="388"/>
      <c r="D116" s="351" t="s">
        <v>81</v>
      </c>
      <c r="E116" s="389">
        <f>STDEV(E108:E113)/E115</f>
        <v>1.8536154646647839E-2</v>
      </c>
      <c r="F116" s="389">
        <f>STDEV(F108:F113)/F115</f>
        <v>1.8536154646647818E-2</v>
      </c>
      <c r="I116" s="233"/>
    </row>
    <row r="117" spans="1:10" ht="27" customHeight="1" x14ac:dyDescent="0.4">
      <c r="A117" s="483" t="s">
        <v>75</v>
      </c>
      <c r="B117" s="484"/>
      <c r="C117" s="390"/>
      <c r="D117" s="391" t="s">
        <v>18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85"/>
      <c r="B118" s="48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487" t="str">
        <f>B20</f>
        <v xml:space="preserve"> Trimethoprim</v>
      </c>
      <c r="D120" s="487"/>
      <c r="E120" s="340" t="s">
        <v>121</v>
      </c>
      <c r="F120" s="340"/>
      <c r="G120" s="341">
        <f>F115</f>
        <v>0.96247157992581911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88" t="s">
        <v>23</v>
      </c>
      <c r="C122" s="488"/>
      <c r="E122" s="346" t="s">
        <v>24</v>
      </c>
      <c r="F122" s="395"/>
      <c r="G122" s="488" t="s">
        <v>25</v>
      </c>
      <c r="H122" s="488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 t="s">
        <v>132</v>
      </c>
      <c r="E124" s="521">
        <v>42380</v>
      </c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2016-01-11T14:08:25Z</dcterms:modified>
</cp:coreProperties>
</file>