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9" r:id="rId2"/>
    <sheet name="Esomeprazole" sheetId="2" r:id="rId3"/>
    <sheet name="Titration" sheetId="3" r:id="rId4"/>
  </sheets>
  <definedNames>
    <definedName name="_xlnm.Print_Area" localSheetId="2">Esomeprazole!$A$1:$I$115</definedName>
    <definedName name="_xlnm.Print_Area" localSheetId="0">SST!$A$15:$G$61</definedName>
    <definedName name="_xlnm.Print_Area" localSheetId="3">Titration!$A$1:$I$64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C43" i="9" l="1"/>
  <c r="B43" i="9"/>
  <c r="C42" i="9"/>
  <c r="B42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42" i="9" l="1"/>
  <c r="D43" i="9"/>
  <c r="E31" i="9" s="1"/>
  <c r="E28" i="9" l="1"/>
  <c r="E30" i="9"/>
  <c r="E22" i="9"/>
  <c r="E32" i="9"/>
  <c r="E34" i="9"/>
  <c r="E29" i="9"/>
  <c r="E27" i="9"/>
  <c r="E33" i="9"/>
  <c r="C47" i="9"/>
  <c r="D48" i="9"/>
  <c r="B47" i="9"/>
  <c r="C48" i="9"/>
  <c r="D47" i="9"/>
  <c r="E25" i="9"/>
  <c r="E23" i="9"/>
  <c r="E21" i="9"/>
  <c r="E40" i="9"/>
  <c r="E39" i="9"/>
  <c r="E24" i="9"/>
  <c r="E26" i="9"/>
  <c r="E37" i="9"/>
  <c r="E36" i="9"/>
  <c r="E35" i="9"/>
  <c r="E38" i="9"/>
  <c r="D58" i="3" l="1"/>
  <c r="D56" i="3"/>
  <c r="E53" i="3" s="1"/>
  <c r="I55" i="3"/>
  <c r="H55" i="3"/>
  <c r="G55" i="3"/>
  <c r="F55" i="3"/>
  <c r="E55" i="3"/>
  <c r="C48" i="3"/>
  <c r="E46" i="3"/>
  <c r="B44" i="3"/>
  <c r="C37" i="3"/>
  <c r="E37" i="3" s="1"/>
  <c r="C36" i="3"/>
  <c r="E36" i="3" s="1"/>
  <c r="C35" i="3"/>
  <c r="E35" i="3" s="1"/>
  <c r="C34" i="3"/>
  <c r="E34" i="3" s="1"/>
  <c r="C76" i="2"/>
  <c r="H71" i="2"/>
  <c r="G71" i="2"/>
  <c r="B68" i="2"/>
  <c r="B69" i="2" s="1"/>
  <c r="H67" i="2"/>
  <c r="G67" i="2"/>
  <c r="H63" i="2"/>
  <c r="G63" i="2"/>
  <c r="C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52" i="3" l="1"/>
  <c r="G37" i="3"/>
  <c r="F37" i="3"/>
  <c r="D49" i="2"/>
  <c r="D44" i="2"/>
  <c r="D45" i="2" s="1"/>
  <c r="F45" i="2"/>
  <c r="G36" i="3"/>
  <c r="F36" i="3"/>
  <c r="E38" i="3"/>
  <c r="E39" i="3" s="1"/>
  <c r="E40" i="3"/>
  <c r="G34" i="3"/>
  <c r="F34" i="3"/>
  <c r="G35" i="3"/>
  <c r="F35" i="3"/>
  <c r="E54" i="3"/>
  <c r="D57" i="3"/>
  <c r="F38" i="3" l="1"/>
  <c r="F46" i="2"/>
  <c r="G38" i="2"/>
  <c r="G40" i="2"/>
  <c r="G39" i="2"/>
  <c r="D46" i="2"/>
  <c r="E40" i="2"/>
  <c r="E38" i="2"/>
  <c r="E39" i="2"/>
  <c r="G38" i="3"/>
  <c r="G42" i="2" l="1"/>
  <c r="D50" i="2"/>
  <c r="D52" i="2"/>
  <c r="E42" i="2"/>
  <c r="F52" i="3"/>
  <c r="G52" i="3" s="1"/>
  <c r="F53" i="3"/>
  <c r="G53" i="3" s="1"/>
  <c r="H53" i="3" s="1"/>
  <c r="I53" i="3" s="1"/>
  <c r="F54" i="3"/>
  <c r="G54" i="3" s="1"/>
  <c r="H54" i="3" s="1"/>
  <c r="I54" i="3" s="1"/>
  <c r="D51" i="2" l="1"/>
  <c r="G68" i="2"/>
  <c r="H68" i="2" s="1"/>
  <c r="G66" i="2"/>
  <c r="H66" i="2" s="1"/>
  <c r="G64" i="2"/>
  <c r="H64" i="2" s="1"/>
  <c r="G65" i="2"/>
  <c r="H65" i="2" s="1"/>
  <c r="G62" i="2"/>
  <c r="H62" i="2" s="1"/>
  <c r="G70" i="2"/>
  <c r="H70" i="2" s="1"/>
  <c r="G61" i="2"/>
  <c r="H61" i="2" s="1"/>
  <c r="G69" i="2"/>
  <c r="H69" i="2" s="1"/>
  <c r="G60" i="2"/>
  <c r="H60" i="2" s="1"/>
  <c r="G56" i="3"/>
  <c r="G58" i="3"/>
  <c r="H52" i="3"/>
  <c r="H72" i="2" l="1"/>
  <c r="H74" i="2"/>
  <c r="H58" i="3"/>
  <c r="I52" i="3"/>
  <c r="H56" i="3"/>
  <c r="H57" i="3" s="1"/>
  <c r="H73" i="2" l="1"/>
  <c r="G76" i="2"/>
  <c r="I56" i="3"/>
  <c r="I57" i="3" s="1"/>
  <c r="I58" i="3"/>
</calcChain>
</file>

<file path=xl/sharedStrings.xml><?xml version="1.0" encoding="utf-8"?>
<sst xmlns="http://schemas.openxmlformats.org/spreadsheetml/2006/main" count="239" uniqueCount="149">
  <si>
    <t>HPLC System Suitability Report</t>
  </si>
  <si>
    <t>Analysis Data</t>
  </si>
  <si>
    <t>Assay</t>
  </si>
  <si>
    <t>Sample(s)</t>
  </si>
  <si>
    <t>Reference Substance:</t>
  </si>
  <si>
    <t>NEXUM 40 Vial</t>
  </si>
  <si>
    <t>% age Purity:</t>
  </si>
  <si>
    <t>NDQD201510424</t>
  </si>
  <si>
    <t>Weight (mg):</t>
  </si>
  <si>
    <t>ESOMEPRAZOLE 40mg</t>
  </si>
  <si>
    <t>Standard Conc (mg/mL):</t>
  </si>
  <si>
    <t>Each vial contains Esomeprazole 40mg (as lyophilized powder of Esomeprazole Sodium INN)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</si>
  <si>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</si>
  <si>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</si>
  <si>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</si>
  <si>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</si>
  <si>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</si>
  <si>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</si>
  <si>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</si>
  <si>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</si>
  <si>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</si>
  <si>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</si>
  <si>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</si>
  <si>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</si>
  <si>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</si>
  <si>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</si>
  <si>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</si>
  <si>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</si>
  <si>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</si>
  <si>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</si>
  <si>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</si>
  <si>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</si>
  <si>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</si>
  <si>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</si>
  <si>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</si>
  <si>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</si>
  <si>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</si>
  <si>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</si>
  <si>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</si>
  <si>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</si>
  <si>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</si>
  <si>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</si>
  <si>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</si>
  <si>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</si>
  <si>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</si>
  <si>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</si>
  <si>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</si>
  <si>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</si>
  <si>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</si>
  <si>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</si>
  <si>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</si>
  <si>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</si>
  <si>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</si>
  <si>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</si>
  <si>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</si>
  <si>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</si>
  <si>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</si>
  <si>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</si>
  <si>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</si>
  <si>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</si>
  <si>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</si>
  <si>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</si>
  <si>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</si>
  <si>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</si>
  <si>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</si>
  <si>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</si>
  <si>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</si>
  <si>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</si>
  <si>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</si>
  <si>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</si>
  <si>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</si>
  <si>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</si>
  <si>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</si>
  <si>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</si>
  <si>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</si>
  <si>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</si>
  <si>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</si>
  <si>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</si>
  <si>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</si>
  <si>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</si>
  <si>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</si>
  <si>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</si>
  <si>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</si>
  <si>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</si>
  <si>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</si>
  <si>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</si>
  <si>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</si>
  <si>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</si>
  <si>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</si>
  <si>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</si>
  <si>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</si>
  <si>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</si>
  <si>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</si>
  <si>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</si>
  <si>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</si>
  <si>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</si>
  <si>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</si>
  <si>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</si>
  <si>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</si>
  <si>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</si>
  <si>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National Quality Control Laoboratory</t>
  </si>
  <si>
    <t>Sodium Chloride</t>
  </si>
  <si>
    <t>Each 100 mL contains 900 mg Sodium Chloride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</si>
  <si>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</si>
  <si>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</si>
  <si>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</si>
  <si>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</si>
  <si>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</si>
  <si>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</si>
  <si>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</si>
  <si>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</si>
  <si>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</si>
  <si>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</si>
  <si>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</si>
  <si>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</si>
  <si>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</si>
  <si>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</si>
  <si>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</si>
  <si>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</si>
  <si>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</si>
  <si>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</si>
  <si>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</si>
  <si>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</si>
  <si>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</si>
  <si>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</si>
  <si>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</si>
  <si>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</si>
  <si>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</si>
  <si>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</si>
  <si>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</si>
  <si>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</si>
  <si>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</si>
  <si>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</si>
  <si>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Average</t>
  </si>
  <si>
    <t>Uniformity of Weight Test Report</t>
  </si>
  <si>
    <t>Uniformity of weight</t>
  </si>
  <si>
    <t>Capsule No.</t>
  </si>
  <si>
    <t>% Deviation</t>
  </si>
  <si>
    <t>Total</t>
  </si>
  <si>
    <t>% Deviation from mean</t>
  </si>
  <si>
    <t>ESOMEPRAZOLE SODIUM</t>
  </si>
  <si>
    <t>Esomeprazole Sodium</t>
  </si>
  <si>
    <t>E6-1</t>
  </si>
  <si>
    <t xml:space="preserve"> </t>
  </si>
  <si>
    <t xml:space="preserve">   Each vial contains Esomeprazole 40mg(as lyophilized powder of Esomeprazole Sodium INN)</t>
  </si>
  <si>
    <t>Empty Vial(mg)</t>
  </si>
  <si>
    <t>Vial Content (mg)</t>
  </si>
  <si>
    <t>Intact Vial (mg)</t>
  </si>
  <si>
    <t>RUTTO/MUTUA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</si>
</sst>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0.00\ &quot;M&quot;"/>
    <numFmt numFmtId="172" formatCode="0\ &quot;mL&quot;"/>
    <numFmt numFmtId="173" formatCode="0.000\ &quot;mg&quot;"/>
    <numFmt numFmtId="174" formatCode="dd\-mmm\-yyyy"/>
    <numFmt numFmtId="175" formatCode="0.0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9" fillId="2" borderId="0"/>
  </cellStyleXfs>
  <cellXfs count="4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8" fillId="3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  <protection locked="0"/>
    </xf>
    <xf numFmtId="166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2" borderId="14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9" fillId="2" borderId="36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locked="0"/>
    </xf>
    <xf numFmtId="0" fontId="9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3" borderId="0" xfId="0" applyFont="1" applyFill="1" applyAlignment="1" applyProtection="1">
      <alignment horizontal="left" vertical="center"/>
      <protection locked="0"/>
    </xf>
    <xf numFmtId="166" fontId="8" fillId="3" borderId="0" xfId="0" applyNumberFormat="1" applyFont="1" applyFill="1" applyAlignment="1" applyProtection="1">
      <alignment horizontal="left" vertical="center"/>
      <protection locked="0"/>
    </xf>
    <xf numFmtId="2" fontId="8" fillId="2" borderId="48" xfId="0" applyNumberFormat="1" applyFont="1" applyFill="1" applyBorder="1"/>
    <xf numFmtId="2" fontId="8" fillId="8" borderId="48" xfId="0" applyNumberFormat="1" applyFont="1" applyFill="1" applyBorder="1"/>
    <xf numFmtId="164" fontId="8" fillId="8" borderId="48" xfId="0" applyNumberFormat="1" applyFont="1" applyFill="1" applyBorder="1"/>
    <xf numFmtId="0" fontId="8" fillId="2" borderId="0" xfId="0" applyFont="1" applyFill="1" applyAlignment="1">
      <alignment vertical="center"/>
    </xf>
    <xf numFmtId="2" fontId="8" fillId="2" borderId="49" xfId="0" applyNumberFormat="1" applyFont="1" applyFill="1" applyBorder="1"/>
    <xf numFmtId="0" fontId="14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/>
    <xf numFmtId="0" fontId="8" fillId="2" borderId="24" xfId="0" applyFont="1" applyFill="1" applyBorder="1" applyAlignment="1">
      <alignment horizontal="right"/>
    </xf>
    <xf numFmtId="0" fontId="8" fillId="2" borderId="34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2" borderId="50" xfId="0" applyFont="1" applyFill="1" applyBorder="1" applyAlignment="1">
      <alignment horizontal="right"/>
    </xf>
    <xf numFmtId="0" fontId="8" fillId="7" borderId="33" xfId="0" applyFont="1" applyFill="1" applyBorder="1" applyAlignment="1">
      <alignment horizontal="center"/>
    </xf>
    <xf numFmtId="164" fontId="9" fillId="7" borderId="31" xfId="0" applyNumberFormat="1" applyFont="1" applyFill="1" applyBorder="1" applyAlignment="1">
      <alignment horizontal="center"/>
    </xf>
    <xf numFmtId="0" fontId="8" fillId="2" borderId="0" xfId="0" applyFont="1" applyFill="1"/>
    <xf numFmtId="2" fontId="9" fillId="2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Continuous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right"/>
    </xf>
    <xf numFmtId="2" fontId="11" fillId="3" borderId="31" xfId="0" applyNumberFormat="1" applyFont="1" applyFill="1" applyBorder="1" applyAlignment="1" applyProtection="1">
      <alignment horizontal="center"/>
      <protection locked="0"/>
    </xf>
    <xf numFmtId="2" fontId="11" fillId="3" borderId="32" xfId="0" applyNumberFormat="1" applyFont="1" applyFill="1" applyBorder="1" applyAlignment="1" applyProtection="1">
      <alignment horizontal="center"/>
      <protection locked="0"/>
    </xf>
    <xf numFmtId="2" fontId="11" fillId="3" borderId="33" xfId="0" applyNumberFormat="1" applyFont="1" applyFill="1" applyBorder="1" applyAlignment="1" applyProtection="1">
      <alignment horizontal="center"/>
      <protection locked="0"/>
    </xf>
    <xf numFmtId="2" fontId="9" fillId="2" borderId="10" xfId="0" applyNumberFormat="1" applyFont="1" applyFill="1" applyBorder="1" applyAlignment="1">
      <alignment horizontal="center" vertical="center"/>
    </xf>
    <xf numFmtId="170" fontId="8" fillId="2" borderId="30" xfId="0" applyNumberFormat="1" applyFont="1" applyFill="1" applyBorder="1" applyAlignment="1">
      <alignment horizontal="center"/>
    </xf>
    <xf numFmtId="170" fontId="8" fillId="2" borderId="11" xfId="0" applyNumberFormat="1" applyFont="1" applyFill="1" applyBorder="1" applyAlignment="1">
      <alignment horizontal="center"/>
    </xf>
    <xf numFmtId="170" fontId="8" fillId="2" borderId="51" xfId="0" applyNumberFormat="1" applyFont="1" applyFill="1" applyBorder="1" applyAlignment="1">
      <alignment horizontal="center"/>
    </xf>
    <xf numFmtId="2" fontId="9" fillId="2" borderId="13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left"/>
      <protection locked="0"/>
    </xf>
    <xf numFmtId="2" fontId="9" fillId="2" borderId="13" xfId="0" applyNumberFormat="1" applyFont="1" applyFill="1" applyBorder="1" applyAlignment="1">
      <alignment horizontal="center" vertical="center"/>
    </xf>
    <xf numFmtId="2" fontId="9" fillId="2" borderId="52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8" fillId="2" borderId="46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50" xfId="0" applyFont="1" applyFill="1" applyBorder="1" applyAlignment="1">
      <alignment horizontal="center"/>
    </xf>
    <xf numFmtId="2" fontId="11" fillId="3" borderId="46" xfId="0" applyNumberFormat="1" applyFont="1" applyFill="1" applyBorder="1" applyAlignment="1" applyProtection="1">
      <alignment horizontal="center"/>
      <protection locked="0"/>
    </xf>
    <xf numFmtId="2" fontId="11" fillId="3" borderId="34" xfId="0" applyNumberFormat="1" applyFont="1" applyFill="1" applyBorder="1" applyAlignment="1" applyProtection="1">
      <alignment horizontal="center"/>
      <protection locked="0"/>
    </xf>
    <xf numFmtId="2" fontId="11" fillId="3" borderId="50" xfId="0" applyNumberFormat="1" applyFont="1" applyFill="1" applyBorder="1" applyAlignment="1" applyProtection="1">
      <alignment horizontal="center"/>
      <protection locked="0"/>
    </xf>
    <xf numFmtId="170" fontId="9" fillId="7" borderId="40" xfId="0" applyNumberFormat="1" applyFont="1" applyFill="1" applyBorder="1" applyAlignment="1">
      <alignment horizontal="center"/>
    </xf>
    <xf numFmtId="2" fontId="11" fillId="3" borderId="53" xfId="0" applyNumberFormat="1" applyFont="1" applyFill="1" applyBorder="1" applyAlignment="1" applyProtection="1">
      <alignment horizontal="center"/>
      <protection locked="0"/>
    </xf>
    <xf numFmtId="2" fontId="11" fillId="3" borderId="54" xfId="0" applyNumberFormat="1" applyFont="1" applyFill="1" applyBorder="1" applyAlignment="1" applyProtection="1">
      <alignment horizontal="center"/>
      <protection locked="0"/>
    </xf>
    <xf numFmtId="2" fontId="11" fillId="3" borderId="55" xfId="0" applyNumberFormat="1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>
      <alignment horizontal="right"/>
    </xf>
    <xf numFmtId="10" fontId="10" fillId="6" borderId="32" xfId="0" applyNumberFormat="1" applyFont="1" applyFill="1" applyBorder="1" applyAlignment="1">
      <alignment horizontal="center"/>
    </xf>
    <xf numFmtId="0" fontId="10" fillId="7" borderId="33" xfId="0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 vertical="center"/>
    </xf>
    <xf numFmtId="2" fontId="11" fillId="7" borderId="40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170" fontId="8" fillId="2" borderId="31" xfId="0" applyNumberFormat="1" applyFont="1" applyFill="1" applyBorder="1" applyAlignment="1">
      <alignment horizontal="center" vertical="center"/>
    </xf>
    <xf numFmtId="170" fontId="8" fillId="2" borderId="32" xfId="0" applyNumberFormat="1" applyFont="1" applyFill="1" applyBorder="1" applyAlignment="1">
      <alignment horizontal="center" vertical="center"/>
    </xf>
    <xf numFmtId="170" fontId="8" fillId="2" borderId="33" xfId="0" applyNumberFormat="1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164" fontId="8" fillId="2" borderId="30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51" xfId="0" applyNumberFormat="1" applyFont="1" applyFill="1" applyBorder="1" applyAlignment="1">
      <alignment horizontal="center"/>
    </xf>
    <xf numFmtId="164" fontId="8" fillId="2" borderId="31" xfId="0" applyNumberFormat="1" applyFont="1" applyFill="1" applyBorder="1" applyAlignment="1">
      <alignment horizontal="center"/>
    </xf>
    <xf numFmtId="164" fontId="8" fillId="2" borderId="32" xfId="0" applyNumberFormat="1" applyFont="1" applyFill="1" applyBorder="1" applyAlignment="1">
      <alignment horizontal="center"/>
    </xf>
    <xf numFmtId="164" fontId="8" fillId="2" borderId="33" xfId="0" applyNumberFormat="1" applyFont="1" applyFill="1" applyBorder="1" applyAlignment="1">
      <alignment horizontal="center"/>
    </xf>
    <xf numFmtId="2" fontId="8" fillId="2" borderId="56" xfId="0" applyNumberFormat="1" applyFont="1" applyFill="1" applyBorder="1"/>
    <xf numFmtId="10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31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/>
    </xf>
    <xf numFmtId="2" fontId="8" fillId="2" borderId="47" xfId="0" applyNumberFormat="1" applyFont="1" applyFill="1" applyBorder="1" applyAlignment="1">
      <alignment horizontal="center"/>
    </xf>
    <xf numFmtId="2" fontId="8" fillId="2" borderId="41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8" fillId="2" borderId="31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10" fontId="11" fillId="7" borderId="40" xfId="0" applyNumberFormat="1" applyFont="1" applyFill="1" applyBorder="1" applyAlignment="1">
      <alignment horizontal="center"/>
    </xf>
    <xf numFmtId="2" fontId="8" fillId="2" borderId="51" xfId="0" applyNumberFormat="1" applyFont="1" applyFill="1" applyBorder="1" applyAlignment="1">
      <alignment horizontal="center"/>
    </xf>
    <xf numFmtId="170" fontId="9" fillId="7" borderId="52" xfId="0" applyNumberFormat="1" applyFont="1" applyFill="1" applyBorder="1" applyAlignment="1">
      <alignment horizontal="center"/>
    </xf>
    <xf numFmtId="10" fontId="9" fillId="7" borderId="39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8" fontId="11" fillId="3" borderId="31" xfId="0" applyNumberFormat="1" applyFont="1" applyFill="1" applyBorder="1" applyAlignment="1" applyProtection="1">
      <alignment horizontal="center"/>
      <protection locked="0"/>
    </xf>
    <xf numFmtId="168" fontId="11" fillId="3" borderId="32" xfId="0" applyNumberFormat="1" applyFont="1" applyFill="1" applyBorder="1" applyAlignment="1" applyProtection="1">
      <alignment horizontal="center"/>
      <protection locked="0"/>
    </xf>
    <xf numFmtId="168" fontId="11" fillId="3" borderId="33" xfId="0" applyNumberFormat="1" applyFont="1" applyFill="1" applyBorder="1" applyAlignment="1" applyProtection="1">
      <alignment horizontal="center"/>
      <protection locked="0"/>
    </xf>
    <xf numFmtId="168" fontId="11" fillId="3" borderId="57" xfId="0" applyNumberFormat="1" applyFont="1" applyFill="1" applyBorder="1" applyAlignment="1" applyProtection="1">
      <alignment horizontal="center"/>
      <protection locked="0"/>
    </xf>
    <xf numFmtId="168" fontId="11" fillId="3" borderId="16" xfId="0" applyNumberFormat="1" applyFont="1" applyFill="1" applyBorder="1" applyAlignment="1" applyProtection="1">
      <alignment horizontal="center"/>
      <protection locked="0"/>
    </xf>
    <xf numFmtId="168" fontId="11" fillId="3" borderId="27" xfId="0" applyNumberFormat="1" applyFont="1" applyFill="1" applyBorder="1" applyAlignment="1" applyProtection="1">
      <alignment horizontal="center"/>
      <protection locked="0"/>
    </xf>
    <xf numFmtId="168" fontId="8" fillId="2" borderId="30" xfId="0" applyNumberFormat="1" applyFont="1" applyFill="1" applyBorder="1" applyAlignment="1">
      <alignment horizontal="center" vertical="center"/>
    </xf>
    <xf numFmtId="168" fontId="8" fillId="2" borderId="11" xfId="0" applyNumberFormat="1" applyFont="1" applyFill="1" applyBorder="1" applyAlignment="1">
      <alignment horizontal="center" vertical="center"/>
    </xf>
    <xf numFmtId="2" fontId="11" fillId="7" borderId="24" xfId="0" applyNumberFormat="1" applyFont="1" applyFill="1" applyBorder="1" applyAlignment="1">
      <alignment horizontal="center"/>
    </xf>
    <xf numFmtId="10" fontId="10" fillId="6" borderId="34" xfId="0" applyNumberFormat="1" applyFont="1" applyFill="1" applyBorder="1" applyAlignment="1">
      <alignment horizontal="center"/>
    </xf>
    <xf numFmtId="0" fontId="10" fillId="7" borderId="50" xfId="0" applyFont="1" applyFill="1" applyBorder="1" applyAlignment="1">
      <alignment horizontal="center"/>
    </xf>
    <xf numFmtId="2" fontId="9" fillId="2" borderId="52" xfId="0" applyNumberFormat="1" applyFont="1" applyFill="1" applyBorder="1" applyAlignment="1">
      <alignment vertical="center"/>
    </xf>
    <xf numFmtId="172" fontId="11" fillId="3" borderId="0" xfId="0" applyNumberFormat="1" applyFont="1" applyFill="1" applyAlignment="1" applyProtection="1">
      <alignment horizontal="center"/>
      <protection locked="0"/>
    </xf>
    <xf numFmtId="169" fontId="11" fillId="3" borderId="0" xfId="0" applyNumberFormat="1" applyFont="1" applyFill="1" applyAlignment="1" applyProtection="1">
      <alignment horizontal="center"/>
      <protection locked="0"/>
    </xf>
    <xf numFmtId="173" fontId="11" fillId="3" borderId="0" xfId="0" applyNumberFormat="1" applyFont="1" applyFill="1" applyAlignment="1" applyProtection="1">
      <alignment horizontal="center"/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center" wrapText="1"/>
    </xf>
    <xf numFmtId="0" fontId="6" fillId="2" borderId="4" xfId="1" applyFont="1" applyFill="1" applyBorder="1"/>
    <xf numFmtId="174" fontId="2" fillId="2" borderId="0" xfId="1" applyNumberFormat="1" applyFont="1" applyFill="1" applyAlignment="1">
      <alignment horizontal="center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21" fillId="2" borderId="0" xfId="1" applyFont="1" applyFill="1" applyAlignment="1">
      <alignment horizontal="left"/>
    </xf>
    <xf numFmtId="164" fontId="1" fillId="2" borderId="52" xfId="1" applyNumberFormat="1" applyFont="1" applyFill="1" applyBorder="1" applyAlignment="1">
      <alignment horizontal="center"/>
    </xf>
    <xf numFmtId="164" fontId="1" fillId="2" borderId="45" xfId="1" applyNumberFormat="1" applyFont="1" applyFill="1" applyBorder="1" applyAlignment="1">
      <alignment horizontal="center"/>
    </xf>
    <xf numFmtId="0" fontId="1" fillId="2" borderId="52" xfId="1" applyFont="1" applyFill="1" applyBorder="1" applyAlignment="1">
      <alignment horizontal="center"/>
    </xf>
    <xf numFmtId="0" fontId="1" fillId="2" borderId="45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40" xfId="1" applyFont="1" applyFill="1" applyBorder="1" applyAlignment="1">
      <alignment horizontal="center"/>
    </xf>
    <xf numFmtId="2" fontId="2" fillId="3" borderId="23" xfId="1" applyNumberFormat="1" applyFont="1" applyFill="1" applyBorder="1" applyAlignment="1" applyProtection="1">
      <alignment horizontal="center"/>
      <protection locked="0"/>
    </xf>
    <xf numFmtId="2" fontId="2" fillId="3" borderId="40" xfId="1" applyNumberFormat="1" applyFont="1" applyFill="1" applyBorder="1" applyAlignment="1" applyProtection="1">
      <alignment horizontal="center"/>
      <protection locked="0"/>
    </xf>
    <xf numFmtId="2" fontId="2" fillId="2" borderId="40" xfId="1" applyNumberFormat="1" applyFont="1" applyFill="1" applyBorder="1" applyAlignment="1">
      <alignment horizontal="center"/>
    </xf>
    <xf numFmtId="10" fontId="2" fillId="2" borderId="41" xfId="1" applyNumberFormat="1" applyFont="1" applyFill="1" applyBorder="1" applyAlignment="1">
      <alignment horizontal="center"/>
    </xf>
    <xf numFmtId="0" fontId="2" fillId="2" borderId="32" xfId="1" applyFont="1" applyFill="1" applyBorder="1" applyAlignment="1">
      <alignment horizontal="center"/>
    </xf>
    <xf numFmtId="2" fontId="2" fillId="3" borderId="41" xfId="1" applyNumberFormat="1" applyFont="1" applyFill="1" applyBorder="1" applyAlignment="1" applyProtection="1">
      <alignment horizontal="center"/>
      <protection locked="0"/>
    </xf>
    <xf numFmtId="2" fontId="2" fillId="3" borderId="32" xfId="1" applyNumberFormat="1" applyFont="1" applyFill="1" applyBorder="1" applyAlignment="1" applyProtection="1">
      <alignment horizontal="center"/>
      <protection locked="0"/>
    </xf>
    <xf numFmtId="2" fontId="2" fillId="2" borderId="32" xfId="1" applyNumberFormat="1" applyFont="1" applyFill="1" applyBorder="1" applyAlignment="1">
      <alignment horizontal="center"/>
    </xf>
    <xf numFmtId="2" fontId="2" fillId="3" borderId="41" xfId="1" applyNumberFormat="1" applyFont="1" applyFill="1" applyBorder="1" applyAlignment="1" applyProtection="1">
      <alignment horizontal="center" wrapText="1"/>
      <protection locked="0"/>
    </xf>
    <xf numFmtId="170" fontId="2" fillId="2" borderId="0" xfId="1" applyNumberFormat="1" applyFont="1" applyFill="1" applyAlignment="1">
      <alignment horizontal="center"/>
    </xf>
    <xf numFmtId="170" fontId="22" fillId="2" borderId="0" xfId="1" applyNumberFormat="1" applyFont="1" applyFill="1" applyAlignment="1">
      <alignment horizontal="center"/>
    </xf>
    <xf numFmtId="10" fontId="22" fillId="2" borderId="0" xfId="1" applyNumberFormat="1" applyFont="1" applyFill="1" applyAlignment="1">
      <alignment horizontal="center"/>
    </xf>
    <xf numFmtId="164" fontId="22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" fillId="2" borderId="33" xfId="1" applyNumberFormat="1" applyFont="1" applyFill="1" applyBorder="1" applyAlignment="1">
      <alignment horizontal="center"/>
    </xf>
    <xf numFmtId="2" fontId="2" fillId="3" borderId="42" xfId="1" applyNumberFormat="1" applyFont="1" applyFill="1" applyBorder="1" applyAlignment="1" applyProtection="1">
      <alignment horizontal="center" wrapText="1"/>
      <protection locked="0"/>
    </xf>
    <xf numFmtId="2" fontId="2" fillId="3" borderId="33" xfId="1" applyNumberFormat="1" applyFont="1" applyFill="1" applyBorder="1" applyAlignment="1" applyProtection="1">
      <alignment horizontal="center"/>
      <protection locked="0"/>
    </xf>
    <xf numFmtId="2" fontId="2" fillId="2" borderId="33" xfId="1" applyNumberFormat="1" applyFont="1" applyFill="1" applyBorder="1" applyAlignment="1">
      <alignment horizontal="center"/>
    </xf>
    <xf numFmtId="10" fontId="2" fillId="2" borderId="42" xfId="1" applyNumberFormat="1" applyFont="1" applyFill="1" applyBorder="1" applyAlignment="1">
      <alignment horizontal="center"/>
    </xf>
    <xf numFmtId="0" fontId="2" fillId="2" borderId="46" xfId="1" applyFont="1" applyFill="1" applyBorder="1" applyAlignment="1">
      <alignment horizontal="right"/>
    </xf>
    <xf numFmtId="170" fontId="2" fillId="2" borderId="57" xfId="1" applyNumberFormat="1" applyFont="1" applyFill="1" applyBorder="1" applyAlignment="1">
      <alignment horizontal="center"/>
    </xf>
    <xf numFmtId="170" fontId="2" fillId="2" borderId="58" xfId="1" applyNumberFormat="1" applyFont="1" applyFill="1" applyBorder="1" applyAlignment="1">
      <alignment horizontal="center"/>
    </xf>
    <xf numFmtId="170" fontId="2" fillId="2" borderId="53" xfId="1" applyNumberFormat="1" applyFont="1" applyFill="1" applyBorder="1" applyAlignment="1">
      <alignment horizontal="center"/>
    </xf>
    <xf numFmtId="0" fontId="2" fillId="2" borderId="50" xfId="1" applyFont="1" applyFill="1" applyBorder="1" applyAlignment="1">
      <alignment horizontal="right"/>
    </xf>
    <xf numFmtId="170" fontId="1" fillId="2" borderId="27" xfId="1" applyNumberFormat="1" applyFont="1" applyFill="1" applyBorder="1" applyAlignment="1">
      <alignment horizontal="center"/>
    </xf>
    <xf numFmtId="170" fontId="1" fillId="2" borderId="59" xfId="1" applyNumberFormat="1" applyFont="1" applyFill="1" applyBorder="1" applyAlignment="1">
      <alignment horizontal="center"/>
    </xf>
    <xf numFmtId="170" fontId="1" fillId="2" borderId="55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52" xfId="1" applyFont="1" applyFill="1" applyBorder="1" applyAlignment="1">
      <alignment horizontal="center" vertical="center"/>
    </xf>
    <xf numFmtId="0" fontId="1" fillId="2" borderId="52" xfId="1" applyFont="1" applyFill="1" applyBorder="1" applyAlignment="1">
      <alignment horizontal="center" wrapText="1"/>
    </xf>
    <xf numFmtId="165" fontId="1" fillId="2" borderId="31" xfId="1" applyNumberFormat="1" applyFont="1" applyFill="1" applyBorder="1" applyAlignment="1">
      <alignment horizontal="center"/>
    </xf>
    <xf numFmtId="175" fontId="1" fillId="2" borderId="47" xfId="1" applyNumberFormat="1" applyFont="1" applyFill="1" applyBorder="1" applyAlignment="1">
      <alignment horizontal="center" vertical="center"/>
    </xf>
    <xf numFmtId="165" fontId="1" fillId="2" borderId="33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right"/>
    </xf>
    <xf numFmtId="10" fontId="2" fillId="2" borderId="44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9" fillId="2" borderId="0" xfId="1" applyFill="1"/>
    <xf numFmtId="22" fontId="6" fillId="2" borderId="0" xfId="0" applyNumberFormat="1" applyFont="1" applyFill="1"/>
    <xf numFmtId="14" fontId="2" fillId="2" borderId="7" xfId="0" applyNumberFormat="1" applyFont="1" applyFill="1" applyBorder="1"/>
    <xf numFmtId="14" fontId="2" fillId="2" borderId="7" xfId="1" applyNumberFormat="1" applyFont="1" applyFill="1" applyBorder="1"/>
    <xf numFmtId="0" fontId="11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1" fillId="2" borderId="0" xfId="1" applyFont="1" applyFill="1" applyAlignment="1">
      <alignment horizontal="center"/>
    </xf>
    <xf numFmtId="167" fontId="1" fillId="2" borderId="36" xfId="1" applyNumberFormat="1" applyFont="1" applyFill="1" applyBorder="1" applyAlignment="1">
      <alignment horizontal="center" vertical="center"/>
    </xf>
    <xf numFmtId="167" fontId="1" fillId="2" borderId="35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20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2" fontId="9" fillId="2" borderId="43" xfId="0" applyNumberFormat="1" applyFont="1" applyFill="1" applyBorder="1" applyAlignment="1">
      <alignment horizontal="center" vertical="center"/>
    </xf>
    <xf numFmtId="2" fontId="9" fillId="2" borderId="45" xfId="0" applyNumberFormat="1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4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60" sqref="B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82" t="s">
        <v>0</v>
      </c>
      <c r="B15" s="382"/>
      <c r="C15" s="382"/>
      <c r="D15" s="382"/>
      <c r="E15" s="3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140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98.22</v>
      </c>
      <c r="C19" s="10"/>
      <c r="D19" s="10"/>
      <c r="E19" s="10"/>
    </row>
    <row r="20" spans="1:6" ht="16.5" customHeight="1" x14ac:dyDescent="0.3">
      <c r="A20" s="7" t="s">
        <v>8</v>
      </c>
      <c r="B20" s="12">
        <v>25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0.05</v>
      </c>
      <c r="C21" s="10"/>
      <c r="D21" s="10"/>
      <c r="E21" s="10"/>
    </row>
    <row r="22" spans="1:6" ht="15.75" customHeight="1" x14ac:dyDescent="0.25">
      <c r="A22" s="10"/>
      <c r="B22" s="378">
        <v>42438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23737004</v>
      </c>
      <c r="C24" s="18">
        <v>17857.41</v>
      </c>
      <c r="D24" s="19">
        <v>1.1100000000000001</v>
      </c>
      <c r="E24" s="20">
        <v>8.27</v>
      </c>
    </row>
    <row r="25" spans="1:6" ht="16.5" customHeight="1" x14ac:dyDescent="0.3">
      <c r="A25" s="17">
        <v>2</v>
      </c>
      <c r="B25" s="18">
        <v>23715583</v>
      </c>
      <c r="C25" s="18">
        <v>17929.34</v>
      </c>
      <c r="D25" s="19">
        <v>1.1000000000000001</v>
      </c>
      <c r="E25" s="19">
        <v>8.26</v>
      </c>
    </row>
    <row r="26" spans="1:6" ht="16.5" customHeight="1" x14ac:dyDescent="0.3">
      <c r="A26" s="17">
        <v>3</v>
      </c>
      <c r="B26" s="18">
        <v>23732022</v>
      </c>
      <c r="C26" s="18">
        <v>17801.11</v>
      </c>
      <c r="D26" s="19">
        <v>1.1000000000000001</v>
      </c>
      <c r="E26" s="19">
        <v>8.25</v>
      </c>
    </row>
    <row r="27" spans="1:6" ht="16.5" customHeight="1" x14ac:dyDescent="0.3">
      <c r="A27" s="17">
        <v>4</v>
      </c>
      <c r="B27" s="18">
        <v>23709189</v>
      </c>
      <c r="C27" s="18">
        <v>17698.59</v>
      </c>
      <c r="D27" s="19">
        <v>1.1200000000000001</v>
      </c>
      <c r="E27" s="19">
        <v>8.23</v>
      </c>
    </row>
    <row r="28" spans="1:6" ht="16.5" customHeight="1" x14ac:dyDescent="0.3">
      <c r="A28" s="17">
        <v>5</v>
      </c>
      <c r="B28" s="18">
        <v>23720751</v>
      </c>
      <c r="C28" s="18">
        <v>17788.02</v>
      </c>
      <c r="D28" s="19">
        <v>1.1200000000000001</v>
      </c>
      <c r="E28" s="19">
        <v>8.2200000000000006</v>
      </c>
    </row>
    <row r="29" spans="1:6" ht="16.5" customHeight="1" x14ac:dyDescent="0.3">
      <c r="A29" s="17">
        <v>6</v>
      </c>
      <c r="B29" s="21">
        <v>23687980</v>
      </c>
      <c r="C29" s="21">
        <v>17987.38</v>
      </c>
      <c r="D29" s="22">
        <v>1.0900000000000001</v>
      </c>
      <c r="E29" s="22">
        <v>8.2200000000000006</v>
      </c>
    </row>
    <row r="30" spans="1:6" ht="16.5" customHeight="1" x14ac:dyDescent="0.3">
      <c r="A30" s="23" t="s">
        <v>17</v>
      </c>
      <c r="B30" s="24">
        <f>AVERAGE(B24:B29)</f>
        <v>23717088.166666668</v>
      </c>
      <c r="C30" s="25">
        <f>AVERAGE(C24:C29)</f>
        <v>17843.641666666666</v>
      </c>
      <c r="D30" s="26">
        <f>AVERAGE(D24:D29)</f>
        <v>1.1066666666666667</v>
      </c>
      <c r="E30" s="26">
        <f>AVERAGE(E24:E29)</f>
        <v>8.2416666666666671</v>
      </c>
    </row>
    <row r="31" spans="1:6" ht="16.5" customHeight="1" x14ac:dyDescent="0.3">
      <c r="A31" s="27" t="s">
        <v>18</v>
      </c>
      <c r="B31" s="28">
        <f>(STDEV(B24:B29)/B30)</f>
        <v>7.4117579289748341E-4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83" t="s">
        <v>25</v>
      </c>
      <c r="C59" s="38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148</v>
      </c>
      <c r="C60" s="48"/>
      <c r="E60" s="379">
        <v>42646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4" workbookViewId="0">
      <selection activeCell="B51" sqref="B51"/>
    </sheetView>
  </sheetViews>
  <sheetFormatPr defaultColWidth="9.140625" defaultRowHeight="16.5" x14ac:dyDescent="0.3"/>
  <cols>
    <col min="1" max="1" width="13.140625" style="323" customWidth="1"/>
    <col min="2" max="2" width="17.85546875" style="369" customWidth="1"/>
    <col min="3" max="3" width="18.85546875" style="323" customWidth="1"/>
    <col min="4" max="4" width="19.7109375" style="321" customWidth="1"/>
    <col min="5" max="5" width="18.42578125" style="323" customWidth="1"/>
    <col min="6" max="6" width="6.42578125" style="318" customWidth="1"/>
    <col min="7" max="7" width="17.140625" style="318" customWidth="1"/>
    <col min="8" max="8" width="13.140625" style="318" customWidth="1"/>
    <col min="9" max="9" width="11" style="318" customWidth="1"/>
    <col min="10" max="10" width="15" style="318" customWidth="1"/>
    <col min="11" max="11" width="7.5703125" style="318" customWidth="1"/>
    <col min="12" max="12" width="13.140625" style="318" customWidth="1"/>
    <col min="13" max="13" width="11" style="318" customWidth="1"/>
    <col min="14" max="14" width="12.28515625" style="318" customWidth="1"/>
    <col min="15" max="15" width="6.5703125" style="318" customWidth="1"/>
    <col min="16" max="16" width="9.140625" style="318"/>
    <col min="17" max="16384" width="9.140625" style="377"/>
  </cols>
  <sheetData>
    <row r="1" spans="1:15" ht="15" x14ac:dyDescent="0.3">
      <c r="A1" s="313"/>
      <c r="B1" s="314"/>
      <c r="C1" s="313"/>
      <c r="D1" s="315"/>
      <c r="E1" s="316"/>
      <c r="F1" s="314"/>
      <c r="G1" s="316"/>
      <c r="H1" s="316"/>
      <c r="I1" s="314"/>
      <c r="J1" s="316"/>
      <c r="K1" s="317"/>
      <c r="L1" s="316"/>
      <c r="M1" s="314"/>
      <c r="N1" s="316"/>
      <c r="O1" s="314"/>
    </row>
    <row r="2" spans="1:15" ht="15" x14ac:dyDescent="0.3">
      <c r="A2" s="313"/>
      <c r="B2" s="314"/>
      <c r="C2" s="313"/>
      <c r="D2" s="315"/>
      <c r="E2" s="319"/>
      <c r="F2" s="314"/>
      <c r="G2" s="319"/>
      <c r="H2" s="319"/>
      <c r="I2" s="314"/>
      <c r="J2" s="319"/>
      <c r="K2" s="317"/>
      <c r="L2" s="319"/>
      <c r="M2" s="317"/>
      <c r="N2" s="319"/>
      <c r="O2" s="317"/>
    </row>
    <row r="3" spans="1:15" ht="15" x14ac:dyDescent="0.3">
      <c r="A3" s="313"/>
      <c r="B3" s="314"/>
      <c r="C3" s="313"/>
      <c r="D3" s="315"/>
      <c r="E3" s="319"/>
      <c r="F3" s="314"/>
      <c r="G3" s="319"/>
      <c r="H3" s="319"/>
      <c r="I3" s="314"/>
      <c r="J3" s="319"/>
      <c r="K3" s="317"/>
      <c r="L3" s="319"/>
      <c r="M3" s="317"/>
      <c r="N3" s="319"/>
      <c r="O3" s="317"/>
    </row>
    <row r="4" spans="1:15" ht="15" x14ac:dyDescent="0.3">
      <c r="A4" s="313"/>
      <c r="B4" s="314"/>
      <c r="C4" s="313"/>
      <c r="D4" s="315"/>
      <c r="E4" s="319"/>
      <c r="F4" s="314"/>
      <c r="G4" s="319"/>
      <c r="H4" s="319"/>
      <c r="I4" s="314"/>
      <c r="J4" s="319"/>
      <c r="K4" s="317"/>
      <c r="L4" s="319"/>
      <c r="M4" s="317"/>
      <c r="N4" s="319"/>
      <c r="O4" s="317"/>
    </row>
    <row r="5" spans="1:15" ht="15" x14ac:dyDescent="0.3">
      <c r="A5" s="313"/>
      <c r="B5" s="314"/>
      <c r="C5" s="313"/>
      <c r="D5" s="315"/>
      <c r="E5" s="319"/>
      <c r="F5" s="314"/>
      <c r="G5" s="319"/>
      <c r="H5" s="319"/>
      <c r="I5" s="314"/>
      <c r="J5" s="319"/>
      <c r="K5" s="317"/>
      <c r="L5" s="319"/>
      <c r="M5" s="317"/>
      <c r="N5" s="319"/>
      <c r="O5" s="317"/>
    </row>
    <row r="6" spans="1:15" ht="15" x14ac:dyDescent="0.3">
      <c r="A6" s="313"/>
      <c r="B6" s="314"/>
      <c r="C6" s="313"/>
      <c r="D6" s="315"/>
      <c r="E6" s="319"/>
      <c r="F6" s="314"/>
      <c r="G6" s="319"/>
      <c r="H6" s="319"/>
      <c r="I6" s="314"/>
      <c r="J6" s="319"/>
      <c r="K6" s="317"/>
      <c r="L6" s="319"/>
      <c r="M6" s="317"/>
      <c r="N6" s="319"/>
      <c r="O6" s="317"/>
    </row>
    <row r="7" spans="1:15" ht="15" x14ac:dyDescent="0.3">
      <c r="A7" s="313"/>
      <c r="B7" s="314"/>
      <c r="C7" s="313"/>
      <c r="D7" s="315"/>
      <c r="E7" s="319"/>
      <c r="F7" s="314"/>
      <c r="G7" s="319"/>
      <c r="H7" s="319"/>
      <c r="I7" s="314"/>
      <c r="J7" s="319"/>
      <c r="K7" s="317"/>
      <c r="L7" s="319"/>
      <c r="M7" s="317"/>
      <c r="N7" s="319"/>
      <c r="O7" s="317"/>
    </row>
    <row r="8" spans="1:15" ht="19.5" customHeight="1" x14ac:dyDescent="0.3">
      <c r="A8" s="390" t="s">
        <v>32</v>
      </c>
      <c r="B8" s="390"/>
      <c r="C8" s="390"/>
      <c r="D8" s="390"/>
      <c r="E8" s="390"/>
      <c r="F8" s="390"/>
      <c r="G8" s="390"/>
      <c r="H8" s="319"/>
      <c r="I8" s="314"/>
      <c r="J8" s="319"/>
      <c r="K8" s="317"/>
      <c r="L8" s="319"/>
      <c r="M8" s="317"/>
      <c r="N8" s="319"/>
      <c r="O8" s="317"/>
    </row>
    <row r="9" spans="1:15" ht="19.5" customHeight="1" x14ac:dyDescent="0.3">
      <c r="A9" s="320"/>
      <c r="B9" s="320"/>
      <c r="C9" s="320"/>
      <c r="D9" s="320"/>
      <c r="E9" s="320"/>
      <c r="F9" s="320"/>
      <c r="G9" s="320"/>
      <c r="H9" s="319"/>
      <c r="I9" s="314"/>
      <c r="J9" s="319"/>
      <c r="K9" s="317"/>
      <c r="L9" s="319"/>
      <c r="M9" s="317"/>
      <c r="N9" s="319"/>
      <c r="O9" s="317"/>
    </row>
    <row r="10" spans="1:15" ht="16.5" customHeight="1" x14ac:dyDescent="0.3">
      <c r="A10" s="391" t="s">
        <v>134</v>
      </c>
      <c r="B10" s="391"/>
      <c r="C10" s="391"/>
      <c r="D10" s="391"/>
      <c r="E10" s="391"/>
      <c r="F10" s="391"/>
      <c r="G10" s="391"/>
      <c r="H10" s="319"/>
      <c r="I10" s="314"/>
    </row>
    <row r="11" spans="1:15" ht="15" customHeight="1" x14ac:dyDescent="0.3">
      <c r="A11" s="384" t="s">
        <v>34</v>
      </c>
      <c r="B11" s="384"/>
      <c r="C11" s="8" t="s">
        <v>5</v>
      </c>
      <c r="E11" s="319"/>
      <c r="F11" s="314"/>
      <c r="G11" s="319"/>
      <c r="H11" s="319"/>
      <c r="I11" s="314"/>
      <c r="J11" s="319"/>
      <c r="K11" s="317"/>
      <c r="L11" s="319"/>
      <c r="M11" s="317"/>
      <c r="N11" s="319"/>
      <c r="O11" s="317"/>
    </row>
    <row r="12" spans="1:15" ht="15" customHeight="1" x14ac:dyDescent="0.3">
      <c r="A12" s="384" t="s">
        <v>35</v>
      </c>
      <c r="B12" s="384"/>
      <c r="C12" s="313" t="s">
        <v>7</v>
      </c>
      <c r="E12" s="319"/>
      <c r="F12" s="314"/>
      <c r="G12" s="319"/>
      <c r="H12" s="319"/>
      <c r="I12" s="314"/>
      <c r="J12" s="319"/>
      <c r="K12" s="317"/>
      <c r="L12" s="319"/>
      <c r="M12" s="317"/>
      <c r="N12" s="319"/>
      <c r="O12" s="317"/>
    </row>
    <row r="13" spans="1:15" ht="15" customHeight="1" x14ac:dyDescent="0.4">
      <c r="A13" s="384" t="s">
        <v>36</v>
      </c>
      <c r="B13" s="384"/>
      <c r="C13" s="313" t="s">
        <v>141</v>
      </c>
      <c r="E13" s="319"/>
      <c r="F13" s="314"/>
      <c r="G13" s="319"/>
      <c r="H13" s="389"/>
      <c r="I13" s="389"/>
      <c r="J13" s="389"/>
      <c r="K13" s="389"/>
      <c r="L13" s="389"/>
      <c r="M13" s="389"/>
      <c r="N13" s="389"/>
      <c r="O13" s="317"/>
    </row>
    <row r="14" spans="1:15" ht="15" customHeight="1" x14ac:dyDescent="0.3">
      <c r="A14" s="384" t="s">
        <v>37</v>
      </c>
      <c r="B14" s="384"/>
      <c r="C14" s="323" t="s">
        <v>144</v>
      </c>
      <c r="D14" s="323" t="s">
        <v>143</v>
      </c>
      <c r="J14" s="319"/>
      <c r="K14" s="317"/>
      <c r="L14" s="319"/>
      <c r="M14" s="317"/>
      <c r="N14" s="319"/>
      <c r="O14" s="317"/>
    </row>
    <row r="15" spans="1:15" ht="15" customHeight="1" x14ac:dyDescent="0.3">
      <c r="A15" s="384" t="s">
        <v>38</v>
      </c>
      <c r="B15" s="384"/>
      <c r="C15" s="322">
        <v>42438</v>
      </c>
      <c r="D15" s="313"/>
      <c r="E15" s="319"/>
      <c r="F15" s="314"/>
      <c r="G15" s="319"/>
      <c r="H15" s="319"/>
      <c r="I15" s="314"/>
      <c r="J15" s="319"/>
      <c r="K15" s="317"/>
      <c r="L15" s="319"/>
      <c r="M15" s="317"/>
      <c r="N15" s="319"/>
      <c r="O15" s="317"/>
    </row>
    <row r="16" spans="1:15" ht="15" customHeight="1" x14ac:dyDescent="0.3">
      <c r="A16" s="384" t="s">
        <v>39</v>
      </c>
      <c r="B16" s="384"/>
      <c r="C16" s="322">
        <v>42439</v>
      </c>
      <c r="D16" s="313"/>
      <c r="E16" s="319"/>
      <c r="F16" s="314"/>
      <c r="G16" s="319"/>
      <c r="H16" s="319"/>
      <c r="I16" s="314"/>
      <c r="J16" s="319"/>
      <c r="K16" s="317"/>
      <c r="L16" s="319"/>
      <c r="M16" s="317"/>
      <c r="N16" s="319"/>
      <c r="O16" s="317"/>
    </row>
    <row r="17" spans="1:15" x14ac:dyDescent="0.3">
      <c r="B17" s="313"/>
      <c r="D17" s="313"/>
      <c r="E17" s="319"/>
      <c r="F17" s="314"/>
      <c r="G17" s="319"/>
      <c r="H17" s="319"/>
      <c r="I17" s="314"/>
      <c r="J17" s="319"/>
      <c r="K17" s="317"/>
      <c r="L17" s="319"/>
      <c r="M17" s="317"/>
      <c r="N17" s="319"/>
      <c r="O17" s="317"/>
    </row>
    <row r="18" spans="1:15" ht="15" customHeight="1" x14ac:dyDescent="0.3">
      <c r="A18" s="385" t="s">
        <v>1</v>
      </c>
      <c r="B18" s="385"/>
      <c r="C18" s="324" t="s">
        <v>135</v>
      </c>
      <c r="D18" s="313"/>
      <c r="E18" s="319"/>
      <c r="F18" s="314"/>
      <c r="G18" s="319"/>
      <c r="H18" s="319"/>
      <c r="I18" s="314"/>
      <c r="J18" s="319"/>
      <c r="K18" s="317"/>
      <c r="L18" s="319"/>
      <c r="M18" s="317"/>
      <c r="N18" s="319"/>
      <c r="O18" s="317"/>
    </row>
    <row r="19" spans="1:15" ht="15.75" customHeight="1" thickBot="1" x14ac:dyDescent="0.35">
      <c r="A19" s="318"/>
      <c r="B19" s="313"/>
      <c r="D19" s="313"/>
      <c r="E19" s="319"/>
      <c r="F19" s="314"/>
      <c r="G19" s="319"/>
      <c r="H19" s="319"/>
      <c r="I19" s="314"/>
      <c r="J19" s="319"/>
      <c r="K19" s="317"/>
      <c r="L19" s="319"/>
      <c r="M19" s="317"/>
      <c r="N19" s="319"/>
      <c r="O19" s="317"/>
    </row>
    <row r="20" spans="1:15" ht="15.75" customHeight="1" thickBot="1" x14ac:dyDescent="0.35">
      <c r="A20" s="325" t="s">
        <v>136</v>
      </c>
      <c r="B20" s="326" t="s">
        <v>147</v>
      </c>
      <c r="C20" s="327" t="s">
        <v>145</v>
      </c>
      <c r="D20" s="325" t="s">
        <v>146</v>
      </c>
      <c r="E20" s="328" t="s">
        <v>137</v>
      </c>
      <c r="G20" s="319"/>
      <c r="H20" s="329"/>
      <c r="I20" s="314"/>
      <c r="J20" s="319"/>
      <c r="K20" s="317"/>
      <c r="L20" s="329"/>
      <c r="M20" s="317"/>
      <c r="N20" s="329"/>
      <c r="O20" s="317"/>
    </row>
    <row r="21" spans="1:15" ht="15" x14ac:dyDescent="0.3">
      <c r="A21" s="330">
        <v>1</v>
      </c>
      <c r="B21" s="331">
        <v>16051.67</v>
      </c>
      <c r="C21" s="332">
        <v>15928.42</v>
      </c>
      <c r="D21" s="333">
        <f t="shared" ref="D21:D40" si="0">B21-C21</f>
        <v>123.25</v>
      </c>
      <c r="E21" s="334">
        <f t="shared" ref="E21:E40" si="1">(D21-$D$43)/$D$43</f>
        <v>2.851923726298982E-3</v>
      </c>
      <c r="G21" s="319"/>
      <c r="H21" s="329"/>
      <c r="I21" s="314"/>
      <c r="J21" s="319"/>
      <c r="K21" s="317"/>
      <c r="L21" s="329"/>
      <c r="M21" s="317"/>
      <c r="N21" s="329"/>
      <c r="O21" s="317"/>
    </row>
    <row r="22" spans="1:15" ht="15" x14ac:dyDescent="0.3">
      <c r="A22" s="335">
        <v>2</v>
      </c>
      <c r="B22" s="336">
        <v>16095.81</v>
      </c>
      <c r="C22" s="337">
        <v>15967.98</v>
      </c>
      <c r="D22" s="338">
        <f t="shared" si="0"/>
        <v>127.82999999999993</v>
      </c>
      <c r="E22" s="334">
        <f t="shared" si="1"/>
        <v>4.0118145313855789E-2</v>
      </c>
      <c r="G22" s="319"/>
      <c r="H22" s="329"/>
      <c r="I22" s="314"/>
      <c r="J22" s="319"/>
      <c r="K22" s="317"/>
      <c r="L22" s="329"/>
      <c r="M22" s="317"/>
      <c r="N22" s="329"/>
      <c r="O22" s="317"/>
    </row>
    <row r="23" spans="1:15" ht="15" x14ac:dyDescent="0.3">
      <c r="A23" s="335">
        <v>3</v>
      </c>
      <c r="B23" s="336">
        <v>15734.58</v>
      </c>
      <c r="C23" s="337">
        <v>15614.36</v>
      </c>
      <c r="D23" s="338">
        <f t="shared" si="0"/>
        <v>120.21999999999935</v>
      </c>
      <c r="E23" s="334">
        <f t="shared" si="1"/>
        <v>-2.1802366974644976E-2</v>
      </c>
      <c r="G23" s="319"/>
      <c r="H23" s="329"/>
      <c r="I23" s="314"/>
      <c r="J23" s="319"/>
      <c r="K23" s="317"/>
      <c r="L23" s="329"/>
      <c r="M23" s="317"/>
      <c r="N23" s="329"/>
      <c r="O23" s="317"/>
    </row>
    <row r="24" spans="1:15" ht="15" x14ac:dyDescent="0.3">
      <c r="A24" s="335">
        <v>4</v>
      </c>
      <c r="B24" s="336">
        <v>16195.36</v>
      </c>
      <c r="C24" s="337">
        <v>16074.26</v>
      </c>
      <c r="D24" s="338">
        <f t="shared" si="0"/>
        <v>121.10000000000036</v>
      </c>
      <c r="E24" s="334">
        <f t="shared" si="1"/>
        <v>-1.4642044922878933E-2</v>
      </c>
      <c r="G24" s="319"/>
      <c r="H24" s="329"/>
      <c r="I24" s="314"/>
      <c r="J24" s="319"/>
      <c r="K24" s="317"/>
      <c r="L24" s="329"/>
      <c r="M24" s="317"/>
      <c r="N24" s="329"/>
      <c r="O24" s="317"/>
    </row>
    <row r="25" spans="1:15" ht="15" x14ac:dyDescent="0.3">
      <c r="A25" s="335">
        <v>5</v>
      </c>
      <c r="B25" s="336">
        <v>16199.22</v>
      </c>
      <c r="C25" s="337">
        <v>16075.97</v>
      </c>
      <c r="D25" s="338">
        <f t="shared" si="0"/>
        <v>123.25</v>
      </c>
      <c r="E25" s="334">
        <f t="shared" si="1"/>
        <v>2.851923726298982E-3</v>
      </c>
      <c r="G25" s="319"/>
      <c r="H25" s="329"/>
      <c r="I25" s="314"/>
      <c r="J25" s="319"/>
      <c r="K25" s="317"/>
      <c r="L25" s="329"/>
      <c r="M25" s="317"/>
      <c r="N25" s="329"/>
      <c r="O25" s="317"/>
    </row>
    <row r="26" spans="1:15" ht="15" x14ac:dyDescent="0.3">
      <c r="A26" s="335">
        <v>6</v>
      </c>
      <c r="B26" s="336">
        <v>15855.41</v>
      </c>
      <c r="C26" s="337">
        <v>15734.55</v>
      </c>
      <c r="D26" s="338">
        <f t="shared" si="0"/>
        <v>120.86000000000058</v>
      </c>
      <c r="E26" s="334">
        <f t="shared" si="1"/>
        <v>-1.6594860027902E-2</v>
      </c>
      <c r="G26" s="319"/>
      <c r="H26" s="329"/>
      <c r="I26" s="314"/>
      <c r="J26" s="319"/>
      <c r="K26" s="317"/>
      <c r="L26" s="329"/>
      <c r="M26" s="317"/>
      <c r="N26" s="329"/>
      <c r="O26" s="317"/>
    </row>
    <row r="27" spans="1:15" ht="15" x14ac:dyDescent="0.3">
      <c r="A27" s="335">
        <v>7</v>
      </c>
      <c r="B27" s="336">
        <v>16116.05</v>
      </c>
      <c r="C27" s="337">
        <v>15989.94</v>
      </c>
      <c r="D27" s="338">
        <f t="shared" si="0"/>
        <v>126.10999999999876</v>
      </c>
      <c r="E27" s="334">
        <f t="shared" si="1"/>
        <v>2.6122970394501614E-2</v>
      </c>
      <c r="G27" s="319"/>
      <c r="H27" s="329"/>
      <c r="I27" s="314"/>
      <c r="J27" s="319"/>
      <c r="K27" s="317"/>
      <c r="L27" s="329"/>
      <c r="M27" s="317"/>
      <c r="N27" s="329"/>
      <c r="O27" s="317"/>
    </row>
    <row r="28" spans="1:15" ht="15" x14ac:dyDescent="0.3">
      <c r="A28" s="335">
        <v>8</v>
      </c>
      <c r="B28" s="336">
        <v>16070.32</v>
      </c>
      <c r="C28" s="337">
        <v>15941.25</v>
      </c>
      <c r="D28" s="338">
        <f t="shared" si="0"/>
        <v>129.06999999999971</v>
      </c>
      <c r="E28" s="334">
        <f t="shared" si="1"/>
        <v>5.0207690023149031E-2</v>
      </c>
      <c r="G28" s="319"/>
      <c r="H28" s="329"/>
      <c r="I28" s="314"/>
      <c r="J28" s="319"/>
      <c r="K28" s="317"/>
      <c r="L28" s="329"/>
      <c r="M28" s="317"/>
      <c r="N28" s="329"/>
      <c r="O28" s="317"/>
    </row>
    <row r="29" spans="1:15" ht="15" x14ac:dyDescent="0.3">
      <c r="A29" s="335">
        <v>9</v>
      </c>
      <c r="B29" s="336">
        <v>15870.77</v>
      </c>
      <c r="C29" s="337">
        <v>15744.31</v>
      </c>
      <c r="D29" s="338">
        <f t="shared" si="0"/>
        <v>126.46000000000095</v>
      </c>
      <c r="E29" s="334">
        <f t="shared" si="1"/>
        <v>2.8970825756013938E-2</v>
      </c>
      <c r="G29" s="319"/>
      <c r="H29" s="329"/>
      <c r="I29" s="314"/>
      <c r="J29" s="319"/>
      <c r="K29" s="317"/>
      <c r="L29" s="329"/>
      <c r="M29" s="317"/>
      <c r="N29" s="329"/>
      <c r="O29" s="317"/>
    </row>
    <row r="30" spans="1:15" ht="15" x14ac:dyDescent="0.3">
      <c r="A30" s="335">
        <v>10</v>
      </c>
      <c r="B30" s="339">
        <v>16186.38</v>
      </c>
      <c r="C30" s="337">
        <v>16062.7</v>
      </c>
      <c r="D30" s="338">
        <f t="shared" si="0"/>
        <v>123.67999999999847</v>
      </c>
      <c r="E30" s="334">
        <f t="shared" si="1"/>
        <v>6.3507174561227243E-3</v>
      </c>
      <c r="G30" s="319"/>
      <c r="H30" s="329"/>
      <c r="I30" s="314"/>
      <c r="J30" s="319"/>
      <c r="K30" s="317"/>
      <c r="L30" s="329"/>
      <c r="M30" s="317"/>
      <c r="N30" s="329"/>
      <c r="O30" s="317"/>
    </row>
    <row r="31" spans="1:15" ht="15" x14ac:dyDescent="0.3">
      <c r="A31" s="335">
        <v>11</v>
      </c>
      <c r="B31" s="339">
        <v>15910.63</v>
      </c>
      <c r="C31" s="337">
        <v>15788.78</v>
      </c>
      <c r="D31" s="338">
        <f t="shared" si="0"/>
        <v>121.84999999999854</v>
      </c>
      <c r="E31" s="334">
        <f t="shared" si="1"/>
        <v>-8.5394977196911019E-3</v>
      </c>
      <c r="G31" s="340"/>
      <c r="H31" s="340"/>
      <c r="I31" s="340"/>
      <c r="J31" s="340"/>
      <c r="K31" s="317"/>
      <c r="L31" s="340"/>
      <c r="M31" s="317"/>
      <c r="N31" s="340"/>
      <c r="O31" s="317"/>
    </row>
    <row r="32" spans="1:15" ht="15" x14ac:dyDescent="0.3">
      <c r="A32" s="335">
        <v>12</v>
      </c>
      <c r="B32" s="339">
        <v>16332.41</v>
      </c>
      <c r="C32" s="337">
        <v>16212.03</v>
      </c>
      <c r="D32" s="338">
        <f t="shared" si="0"/>
        <v>120.3799999999992</v>
      </c>
      <c r="E32" s="334">
        <f t="shared" si="1"/>
        <v>-2.050049023796293E-2</v>
      </c>
      <c r="G32" s="340"/>
      <c r="H32" s="340"/>
      <c r="I32" s="340"/>
      <c r="J32" s="340"/>
      <c r="K32" s="317"/>
      <c r="L32" s="340"/>
      <c r="M32" s="340"/>
      <c r="N32" s="340"/>
      <c r="O32" s="340"/>
    </row>
    <row r="33" spans="1:15" ht="15" x14ac:dyDescent="0.3">
      <c r="A33" s="335">
        <v>13</v>
      </c>
      <c r="B33" s="339">
        <v>16358.96</v>
      </c>
      <c r="C33" s="337">
        <v>16234.87</v>
      </c>
      <c r="D33" s="338">
        <f t="shared" si="0"/>
        <v>124.08999999999833</v>
      </c>
      <c r="E33" s="334">
        <f t="shared" si="1"/>
        <v>9.6867765938723118E-3</v>
      </c>
      <c r="G33" s="341"/>
      <c r="H33" s="341"/>
      <c r="I33" s="341"/>
      <c r="J33" s="341"/>
      <c r="K33" s="342"/>
      <c r="L33" s="341"/>
      <c r="M33" s="341"/>
      <c r="N33" s="343"/>
      <c r="O33" s="341"/>
    </row>
    <row r="34" spans="1:15" ht="15" x14ac:dyDescent="0.3">
      <c r="A34" s="335">
        <v>14</v>
      </c>
      <c r="B34" s="339">
        <v>15933.71</v>
      </c>
      <c r="C34" s="337">
        <v>15811.75</v>
      </c>
      <c r="D34" s="338">
        <f t="shared" si="0"/>
        <v>121.95999999999913</v>
      </c>
      <c r="E34" s="334">
        <f t="shared" si="1"/>
        <v>-7.6444574632166477E-3</v>
      </c>
      <c r="G34" s="344"/>
      <c r="H34" s="345"/>
      <c r="I34" s="345"/>
      <c r="J34" s="344"/>
      <c r="K34" s="346"/>
      <c r="L34" s="347"/>
      <c r="M34" s="345"/>
      <c r="N34" s="347"/>
      <c r="O34" s="345"/>
    </row>
    <row r="35" spans="1:15" ht="15" x14ac:dyDescent="0.3">
      <c r="A35" s="335">
        <v>15</v>
      </c>
      <c r="B35" s="339">
        <v>16027.3</v>
      </c>
      <c r="C35" s="337">
        <v>15905.48</v>
      </c>
      <c r="D35" s="338">
        <f t="shared" si="0"/>
        <v>121.81999999999971</v>
      </c>
      <c r="E35" s="334">
        <f t="shared" si="1"/>
        <v>-8.7835996078097361E-3</v>
      </c>
      <c r="G35" s="344"/>
      <c r="J35" s="344"/>
      <c r="K35" s="346"/>
      <c r="L35" s="347"/>
      <c r="N35" s="347"/>
    </row>
    <row r="36" spans="1:15" ht="15" x14ac:dyDescent="0.3">
      <c r="A36" s="335">
        <v>16</v>
      </c>
      <c r="B36" s="339">
        <v>16152.57</v>
      </c>
      <c r="C36" s="337">
        <v>16032.55</v>
      </c>
      <c r="D36" s="338">
        <f t="shared" si="0"/>
        <v>120.02000000000044</v>
      </c>
      <c r="E36" s="334">
        <f t="shared" si="1"/>
        <v>-2.3429712895490128E-2</v>
      </c>
      <c r="G36" s="348"/>
      <c r="H36" s="348"/>
    </row>
    <row r="37" spans="1:15" ht="15" x14ac:dyDescent="0.3">
      <c r="A37" s="335">
        <v>17</v>
      </c>
      <c r="B37" s="339">
        <v>15936.57</v>
      </c>
      <c r="C37" s="337">
        <v>15819.87</v>
      </c>
      <c r="D37" s="338">
        <f t="shared" si="0"/>
        <v>116.69999999999891</v>
      </c>
      <c r="E37" s="334">
        <f t="shared" si="1"/>
        <v>-5.0443655181679543E-2</v>
      </c>
    </row>
    <row r="38" spans="1:15" ht="15" x14ac:dyDescent="0.3">
      <c r="A38" s="335">
        <v>18</v>
      </c>
      <c r="B38" s="339">
        <v>16218.39</v>
      </c>
      <c r="C38" s="337">
        <v>16097.26</v>
      </c>
      <c r="D38" s="338">
        <f t="shared" si="0"/>
        <v>121.1299999999992</v>
      </c>
      <c r="E38" s="334">
        <f t="shared" si="1"/>
        <v>-1.43979430347603E-2</v>
      </c>
    </row>
    <row r="39" spans="1:15" ht="15" x14ac:dyDescent="0.3">
      <c r="A39" s="335">
        <v>19</v>
      </c>
      <c r="B39" s="339">
        <v>15866.86</v>
      </c>
      <c r="C39" s="337">
        <v>15744.55</v>
      </c>
      <c r="D39" s="338">
        <f t="shared" si="0"/>
        <v>122.31000000000131</v>
      </c>
      <c r="E39" s="334">
        <f t="shared" si="1"/>
        <v>-4.7966021017043252E-3</v>
      </c>
    </row>
    <row r="40" spans="1:15" ht="14.25" customHeight="1" thickBot="1" x14ac:dyDescent="0.35">
      <c r="A40" s="349">
        <v>20</v>
      </c>
      <c r="B40" s="350">
        <v>15894.28</v>
      </c>
      <c r="C40" s="351">
        <v>15768.38</v>
      </c>
      <c r="D40" s="352">
        <f t="shared" si="0"/>
        <v>125.90000000000146</v>
      </c>
      <c r="E40" s="353">
        <f t="shared" si="1"/>
        <v>2.4414257177626783E-2</v>
      </c>
    </row>
    <row r="41" spans="1:15" ht="14.25" customHeight="1" thickBot="1" x14ac:dyDescent="0.35">
      <c r="B41" s="313"/>
      <c r="D41" s="317"/>
      <c r="G41" s="319"/>
    </row>
    <row r="42" spans="1:15" x14ac:dyDescent="0.3">
      <c r="A42" s="354" t="s">
        <v>138</v>
      </c>
      <c r="B42" s="355">
        <f>SUM(B21:B40)</f>
        <v>321007.25</v>
      </c>
      <c r="C42" s="356">
        <f>SUM(C21:C40)</f>
        <v>318549.26</v>
      </c>
      <c r="D42" s="357">
        <f>SUM(D21:D40)</f>
        <v>2457.9899999999943</v>
      </c>
    </row>
    <row r="43" spans="1:15" ht="15.75" customHeight="1" thickBot="1" x14ac:dyDescent="0.35">
      <c r="A43" s="358" t="s">
        <v>133</v>
      </c>
      <c r="B43" s="359">
        <f>AVERAGE(B21:B40)</f>
        <v>16050.362499999999</v>
      </c>
      <c r="C43" s="360">
        <f>AVERAGE(C21:C40)</f>
        <v>15927.463</v>
      </c>
      <c r="D43" s="361">
        <f>AVERAGE(D21:D40)</f>
        <v>122.89949999999972</v>
      </c>
    </row>
    <row r="44" spans="1:15" x14ac:dyDescent="0.3">
      <c r="A44" s="313"/>
      <c r="B44" s="362"/>
      <c r="C44" s="362"/>
      <c r="D44" s="313"/>
    </row>
    <row r="45" spans="1:15" ht="14.25" customHeight="1" thickBot="1" x14ac:dyDescent="0.35">
      <c r="A45" s="313"/>
      <c r="B45" s="313"/>
      <c r="C45" s="313"/>
      <c r="D45" s="313"/>
    </row>
    <row r="46" spans="1:15" ht="30.75" customHeight="1" thickBot="1" x14ac:dyDescent="0.35">
      <c r="B46" s="363" t="s">
        <v>133</v>
      </c>
      <c r="C46" s="364" t="s">
        <v>139</v>
      </c>
    </row>
    <row r="47" spans="1:15" ht="15.75" customHeight="1" thickBot="1" x14ac:dyDescent="0.35">
      <c r="B47" s="386">
        <f>D43</f>
        <v>122.89949999999972</v>
      </c>
      <c r="C47" s="365">
        <f>-(IF(D43&gt;300, 7.5%, 10%))</f>
        <v>-0.1</v>
      </c>
      <c r="D47" s="366">
        <f>IF(D43&lt;300, D43*0.9, D43*0.925)</f>
        <v>110.60954999999974</v>
      </c>
    </row>
    <row r="48" spans="1:15" ht="15.75" customHeight="1" thickBot="1" x14ac:dyDescent="0.35">
      <c r="B48" s="387"/>
      <c r="C48" s="367">
        <f>+(IF(D43&gt;300, 7.5%, 10%))</f>
        <v>0.1</v>
      </c>
      <c r="D48" s="366">
        <f>IF(D43&lt;300, D43*1.1, D43*1.075)</f>
        <v>135.18944999999971</v>
      </c>
    </row>
    <row r="49" spans="1:7" ht="14.25" customHeight="1" thickBot="1" x14ac:dyDescent="0.35">
      <c r="A49" s="368"/>
      <c r="D49" s="370"/>
    </row>
    <row r="50" spans="1:7" ht="15" customHeight="1" x14ac:dyDescent="0.3">
      <c r="B50" s="388" t="s">
        <v>25</v>
      </c>
      <c r="C50" s="388"/>
      <c r="D50" s="313"/>
      <c r="E50" s="371" t="s">
        <v>26</v>
      </c>
      <c r="F50" s="372"/>
      <c r="G50" s="371" t="s">
        <v>27</v>
      </c>
    </row>
    <row r="51" spans="1:7" ht="15" customHeight="1" x14ac:dyDescent="0.3">
      <c r="A51" s="373" t="s">
        <v>28</v>
      </c>
      <c r="B51" s="374" t="s">
        <v>148</v>
      </c>
      <c r="C51" s="374"/>
      <c r="D51" s="313"/>
      <c r="E51" s="380">
        <v>42646</v>
      </c>
      <c r="F51" s="313"/>
      <c r="G51" s="374"/>
    </row>
    <row r="52" spans="1:7" ht="15" customHeight="1" x14ac:dyDescent="0.3">
      <c r="A52" s="373" t="s">
        <v>29</v>
      </c>
      <c r="B52" s="375"/>
      <c r="C52" s="375"/>
      <c r="D52" s="313"/>
      <c r="E52" s="375"/>
      <c r="F52" s="313"/>
      <c r="G52" s="376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H13:N13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:E40">
    <cfRule type="cellIs" dxfId="9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46" zoomScale="60" zoomScaleNormal="78" workbookViewId="0">
      <selection activeCell="E79" sqref="E7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405" t="s">
        <v>30</v>
      </c>
      <c r="B1" s="405"/>
      <c r="C1" s="405"/>
      <c r="D1" s="405"/>
      <c r="E1" s="405"/>
      <c r="F1" s="405"/>
      <c r="G1" s="405"/>
      <c r="H1" s="405"/>
    </row>
    <row r="2" spans="1:8" x14ac:dyDescent="0.2">
      <c r="A2" s="405"/>
      <c r="B2" s="405"/>
      <c r="C2" s="405"/>
      <c r="D2" s="405"/>
      <c r="E2" s="405"/>
      <c r="F2" s="405"/>
      <c r="G2" s="405"/>
      <c r="H2" s="405"/>
    </row>
    <row r="3" spans="1:8" x14ac:dyDescent="0.2">
      <c r="A3" s="405"/>
      <c r="B3" s="405"/>
      <c r="C3" s="405"/>
      <c r="D3" s="405"/>
      <c r="E3" s="405"/>
      <c r="F3" s="405"/>
      <c r="G3" s="405"/>
      <c r="H3" s="405"/>
    </row>
    <row r="4" spans="1:8" x14ac:dyDescent="0.2">
      <c r="A4" s="405"/>
      <c r="B4" s="405"/>
      <c r="C4" s="405"/>
      <c r="D4" s="405"/>
      <c r="E4" s="405"/>
      <c r="F4" s="405"/>
      <c r="G4" s="405"/>
      <c r="H4" s="405"/>
    </row>
    <row r="5" spans="1:8" x14ac:dyDescent="0.2">
      <c r="A5" s="405"/>
      <c r="B5" s="405"/>
      <c r="C5" s="405"/>
      <c r="D5" s="405"/>
      <c r="E5" s="405"/>
      <c r="F5" s="405"/>
      <c r="G5" s="405"/>
      <c r="H5" s="405"/>
    </row>
    <row r="6" spans="1:8" x14ac:dyDescent="0.2">
      <c r="A6" s="405"/>
      <c r="B6" s="405"/>
      <c r="C6" s="405"/>
      <c r="D6" s="405"/>
      <c r="E6" s="405"/>
      <c r="F6" s="405"/>
      <c r="G6" s="405"/>
      <c r="H6" s="405"/>
    </row>
    <row r="7" spans="1:8" x14ac:dyDescent="0.2">
      <c r="A7" s="405"/>
      <c r="B7" s="405"/>
      <c r="C7" s="405"/>
      <c r="D7" s="405"/>
      <c r="E7" s="405"/>
      <c r="F7" s="405"/>
      <c r="G7" s="405"/>
      <c r="H7" s="405"/>
    </row>
    <row r="8" spans="1:8" x14ac:dyDescent="0.2">
      <c r="A8" s="406" t="s">
        <v>31</v>
      </c>
      <c r="B8" s="406"/>
      <c r="C8" s="406"/>
      <c r="D8" s="406"/>
      <c r="E8" s="406"/>
      <c r="F8" s="406"/>
      <c r="G8" s="406"/>
      <c r="H8" s="406"/>
    </row>
    <row r="9" spans="1:8" x14ac:dyDescent="0.2">
      <c r="A9" s="406"/>
      <c r="B9" s="406"/>
      <c r="C9" s="406"/>
      <c r="D9" s="406"/>
      <c r="E9" s="406"/>
      <c r="F9" s="406"/>
      <c r="G9" s="406"/>
      <c r="H9" s="406"/>
    </row>
    <row r="10" spans="1:8" x14ac:dyDescent="0.2">
      <c r="A10" s="406"/>
      <c r="B10" s="406"/>
      <c r="C10" s="406"/>
      <c r="D10" s="406"/>
      <c r="E10" s="406"/>
      <c r="F10" s="406"/>
      <c r="G10" s="406"/>
      <c r="H10" s="406"/>
    </row>
    <row r="11" spans="1:8" x14ac:dyDescent="0.2">
      <c r="A11" s="406"/>
      <c r="B11" s="406"/>
      <c r="C11" s="406"/>
      <c r="D11" s="406"/>
      <c r="E11" s="406"/>
      <c r="F11" s="406"/>
      <c r="G11" s="406"/>
      <c r="H11" s="406"/>
    </row>
    <row r="12" spans="1:8" x14ac:dyDescent="0.2">
      <c r="A12" s="406"/>
      <c r="B12" s="406"/>
      <c r="C12" s="406"/>
      <c r="D12" s="406"/>
      <c r="E12" s="406"/>
      <c r="F12" s="406"/>
      <c r="G12" s="406"/>
      <c r="H12" s="406"/>
    </row>
    <row r="13" spans="1:8" x14ac:dyDescent="0.2">
      <c r="A13" s="406"/>
      <c r="B13" s="406"/>
      <c r="C13" s="406"/>
      <c r="D13" s="406"/>
      <c r="E13" s="406"/>
      <c r="F13" s="406"/>
      <c r="G13" s="406"/>
      <c r="H13" s="406"/>
    </row>
    <row r="14" spans="1:8" x14ac:dyDescent="0.2">
      <c r="A14" s="406"/>
      <c r="B14" s="406"/>
      <c r="C14" s="406"/>
      <c r="D14" s="406"/>
      <c r="E14" s="406"/>
      <c r="F14" s="406"/>
      <c r="G14" s="406"/>
      <c r="H14" s="40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407" t="s">
        <v>32</v>
      </c>
      <c r="B16" s="408"/>
      <c r="C16" s="408"/>
      <c r="D16" s="408"/>
      <c r="E16" s="408"/>
      <c r="F16" s="408"/>
      <c r="G16" s="408"/>
      <c r="H16" s="409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381" t="s">
        <v>5</v>
      </c>
      <c r="C18" s="381"/>
      <c r="D18" s="381"/>
      <c r="E18" s="381"/>
      <c r="F18" s="52"/>
      <c r="G18" s="52"/>
      <c r="H18" s="52"/>
    </row>
    <row r="19" spans="1:8" ht="26.25" customHeight="1" x14ac:dyDescent="0.4">
      <c r="A19" s="54" t="s">
        <v>35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36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37</v>
      </c>
      <c r="B21" s="389" t="s">
        <v>11</v>
      </c>
      <c r="C21" s="389"/>
      <c r="D21" s="389"/>
      <c r="E21" s="389"/>
      <c r="F21" s="389"/>
      <c r="G21" s="389"/>
      <c r="H21" s="389"/>
    </row>
    <row r="22" spans="1:8" ht="26.25" customHeight="1" x14ac:dyDescent="0.4">
      <c r="A22" s="54" t="s">
        <v>38</v>
      </c>
      <c r="B22" s="56">
        <v>42438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39</v>
      </c>
      <c r="B23" s="56">
        <v>42439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410" t="s">
        <v>141</v>
      </c>
      <c r="C26" s="410"/>
      <c r="D26" s="52"/>
      <c r="E26" s="52"/>
      <c r="F26" s="52"/>
      <c r="G26" s="52"/>
      <c r="H26" s="52"/>
    </row>
    <row r="27" spans="1:8" ht="26.25" customHeight="1" x14ac:dyDescent="0.4">
      <c r="A27" s="60" t="s">
        <v>40</v>
      </c>
      <c r="B27" s="389" t="s">
        <v>142</v>
      </c>
      <c r="C27" s="389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98.22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41</v>
      </c>
      <c r="B29" s="62">
        <v>0</v>
      </c>
      <c r="C29" s="411" t="s">
        <v>42</v>
      </c>
      <c r="D29" s="412"/>
      <c r="E29" s="412"/>
      <c r="F29" s="412"/>
      <c r="G29" s="412"/>
      <c r="H29" s="413"/>
    </row>
    <row r="30" spans="1:8" ht="19.5" customHeight="1" x14ac:dyDescent="0.3">
      <c r="A30" s="60" t="s">
        <v>43</v>
      </c>
      <c r="B30" s="63">
        <f>B28-B29</f>
        <v>98.22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44</v>
      </c>
      <c r="B31" s="66">
        <v>345.41699999999997</v>
      </c>
      <c r="C31" s="414" t="s">
        <v>45</v>
      </c>
      <c r="D31" s="415"/>
      <c r="E31" s="415"/>
      <c r="F31" s="415"/>
      <c r="G31" s="415"/>
      <c r="H31" s="416"/>
    </row>
    <row r="32" spans="1:8" ht="27" customHeight="1" x14ac:dyDescent="0.4">
      <c r="A32" s="60" t="s">
        <v>46</v>
      </c>
      <c r="B32" s="66">
        <v>367.39789000000002</v>
      </c>
      <c r="C32" s="414" t="s">
        <v>47</v>
      </c>
      <c r="D32" s="415"/>
      <c r="E32" s="415"/>
      <c r="F32" s="415"/>
      <c r="G32" s="415"/>
      <c r="H32" s="41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48</v>
      </c>
      <c r="B34" s="69">
        <f>B31/B32</f>
        <v>0.9401714310335314</v>
      </c>
      <c r="C34" s="52" t="s">
        <v>49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50</v>
      </c>
      <c r="B36" s="72">
        <v>50</v>
      </c>
      <c r="C36" s="52"/>
      <c r="D36" s="417" t="s">
        <v>51</v>
      </c>
      <c r="E36" s="418"/>
      <c r="F36" s="417" t="s">
        <v>52</v>
      </c>
      <c r="G36" s="419"/>
      <c r="H36" s="70"/>
    </row>
    <row r="37" spans="1:8" ht="26.25" customHeight="1" x14ac:dyDescent="0.4">
      <c r="A37" s="73" t="s">
        <v>53</v>
      </c>
      <c r="B37" s="74">
        <v>5</v>
      </c>
      <c r="C37" s="75" t="s">
        <v>54</v>
      </c>
      <c r="D37" s="76" t="s">
        <v>55</v>
      </c>
      <c r="E37" s="77" t="s">
        <v>56</v>
      </c>
      <c r="F37" s="76" t="s">
        <v>55</v>
      </c>
      <c r="G37" s="78" t="s">
        <v>56</v>
      </c>
      <c r="H37" s="70"/>
    </row>
    <row r="38" spans="1:8" ht="26.25" customHeight="1" x14ac:dyDescent="0.4">
      <c r="A38" s="73" t="s">
        <v>57</v>
      </c>
      <c r="B38" s="74">
        <v>50</v>
      </c>
      <c r="C38" s="79">
        <v>1</v>
      </c>
      <c r="D38" s="80">
        <v>23672687</v>
      </c>
      <c r="E38" s="81">
        <f>IF(ISBLANK(D38),"-",$D$48/$D$45*D38)</f>
        <v>24048244.084461499</v>
      </c>
      <c r="F38" s="80">
        <v>24593007</v>
      </c>
      <c r="G38" s="82">
        <f>IF(ISBLANK(F38),"-",$D$48/$F$45*F38)</f>
        <v>24281595.031317297</v>
      </c>
      <c r="H38" s="70"/>
    </row>
    <row r="39" spans="1:8" ht="26.25" customHeight="1" x14ac:dyDescent="0.4">
      <c r="A39" s="73" t="s">
        <v>58</v>
      </c>
      <c r="B39" s="74">
        <v>1</v>
      </c>
      <c r="C39" s="83">
        <v>2</v>
      </c>
      <c r="D39" s="84">
        <v>23591462</v>
      </c>
      <c r="E39" s="85">
        <f>IF(ISBLANK(D39),"-",$D$48/$D$45*D39)</f>
        <v>23965730.484473448</v>
      </c>
      <c r="F39" s="84">
        <v>24540834</v>
      </c>
      <c r="G39" s="86">
        <f>IF(ISBLANK(F39),"-",$D$48/$F$45*F39)</f>
        <v>24230082.67833139</v>
      </c>
      <c r="H39" s="70"/>
    </row>
    <row r="40" spans="1:8" ht="26.25" customHeight="1" x14ac:dyDescent="0.4">
      <c r="A40" s="73" t="s">
        <v>59</v>
      </c>
      <c r="B40" s="74">
        <v>1</v>
      </c>
      <c r="C40" s="83">
        <v>3</v>
      </c>
      <c r="D40" s="84">
        <v>23613712</v>
      </c>
      <c r="E40" s="85">
        <f>IF(ISBLANK(D40),"-",$D$48/$D$45*D40)</f>
        <v>23988333.471235331</v>
      </c>
      <c r="F40" s="84">
        <v>24565229</v>
      </c>
      <c r="G40" s="86">
        <f>IF(ISBLANK(F40),"-",$D$48/$F$45*F40)</f>
        <v>24254168.773650639</v>
      </c>
      <c r="H40" s="52"/>
    </row>
    <row r="41" spans="1:8" ht="26.25" customHeight="1" x14ac:dyDescent="0.4">
      <c r="A41" s="73" t="s">
        <v>60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61</v>
      </c>
      <c r="B42" s="74">
        <v>1</v>
      </c>
      <c r="C42" s="91" t="s">
        <v>62</v>
      </c>
      <c r="D42" s="92">
        <f>AVERAGE(D38:D41)</f>
        <v>23625953.666666668</v>
      </c>
      <c r="E42" s="93">
        <f>AVERAGE(E38:E41)</f>
        <v>24000769.346723426</v>
      </c>
      <c r="F42" s="92">
        <f>AVERAGE(F38:F41)</f>
        <v>24566356.666666668</v>
      </c>
      <c r="G42" s="94">
        <f>AVERAGE(G38:G41)</f>
        <v>24255282.161099773</v>
      </c>
      <c r="H42" s="95"/>
    </row>
    <row r="43" spans="1:8" ht="26.25" customHeight="1" x14ac:dyDescent="0.4">
      <c r="A43" s="73" t="s">
        <v>63</v>
      </c>
      <c r="B43" s="74">
        <v>1</v>
      </c>
      <c r="C43" s="96" t="s">
        <v>64</v>
      </c>
      <c r="D43" s="97">
        <v>26.65</v>
      </c>
      <c r="E43" s="98"/>
      <c r="F43" s="97">
        <v>27.42</v>
      </c>
      <c r="G43" s="52"/>
      <c r="H43" s="95"/>
    </row>
    <row r="44" spans="1:8" ht="26.25" customHeight="1" x14ac:dyDescent="0.4">
      <c r="A44" s="73" t="s">
        <v>65</v>
      </c>
      <c r="B44" s="74">
        <v>1</v>
      </c>
      <c r="C44" s="99" t="s">
        <v>66</v>
      </c>
      <c r="D44" s="100">
        <f>D43*$B$34</f>
        <v>25.05556863704361</v>
      </c>
      <c r="E44" s="101"/>
      <c r="F44" s="100">
        <f>F43*$B$34</f>
        <v>25.779500638939432</v>
      </c>
      <c r="G44" s="52"/>
      <c r="H44" s="95"/>
    </row>
    <row r="45" spans="1:8" ht="19.5" customHeight="1" x14ac:dyDescent="0.3">
      <c r="A45" s="73" t="s">
        <v>67</v>
      </c>
      <c r="B45" s="102">
        <f>(B44/B43)*(B42/B41)*(B40/B39)*(B38/B37)*B36</f>
        <v>500</v>
      </c>
      <c r="C45" s="99" t="s">
        <v>68</v>
      </c>
      <c r="D45" s="103">
        <f>D44*$B$30/100</f>
        <v>24.609579515304237</v>
      </c>
      <c r="E45" s="104"/>
      <c r="F45" s="103">
        <f>F44*$B$30/100</f>
        <v>25.320625527566307</v>
      </c>
      <c r="G45" s="52"/>
      <c r="H45" s="95"/>
    </row>
    <row r="46" spans="1:8" ht="19.5" customHeight="1" x14ac:dyDescent="0.3">
      <c r="A46" s="400" t="s">
        <v>69</v>
      </c>
      <c r="B46" s="401"/>
      <c r="C46" s="99" t="s">
        <v>70</v>
      </c>
      <c r="D46" s="100">
        <f>D45/$B$45</f>
        <v>4.9219159030608473E-2</v>
      </c>
      <c r="E46" s="104"/>
      <c r="F46" s="105">
        <f>F45/$B$45</f>
        <v>5.0641251055132612E-2</v>
      </c>
      <c r="G46" s="52"/>
      <c r="H46" s="95"/>
    </row>
    <row r="47" spans="1:8" ht="27" customHeight="1" x14ac:dyDescent="0.4">
      <c r="A47" s="402"/>
      <c r="B47" s="403"/>
      <c r="C47" s="106" t="s">
        <v>71</v>
      </c>
      <c r="D47" s="107">
        <v>0.05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72</v>
      </c>
      <c r="D48" s="100">
        <f>D47*$B$45</f>
        <v>25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73</v>
      </c>
      <c r="D49" s="111">
        <f>D48/B34</f>
        <v>26.590895207821273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74</v>
      </c>
      <c r="D50" s="112">
        <f>AVERAGE(E38:E41,G38:G41)</f>
        <v>24128025.7539116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75</v>
      </c>
      <c r="D51" s="114">
        <f>STDEV(E38:E41,G38:G41)/D50</f>
        <v>5.9233839341564648E-3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19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8" t="str">
        <f>B21</f>
        <v>Each vial contains Esomeprazole 40mg (as lyophilized powder of Esomeprazole Sodium INN)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78</v>
      </c>
      <c r="B56" s="120">
        <v>40</v>
      </c>
      <c r="C56" s="52" t="str">
        <f>B20</f>
        <v>ESOMEPRAZOLE 40mg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79</v>
      </c>
      <c r="B57" s="169">
        <v>122.89949999999972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80</v>
      </c>
      <c r="B59" s="72">
        <v>50</v>
      </c>
      <c r="C59" s="52"/>
      <c r="D59" s="122" t="s">
        <v>81</v>
      </c>
      <c r="E59" s="123" t="s">
        <v>54</v>
      </c>
      <c r="F59" s="123" t="s">
        <v>55</v>
      </c>
      <c r="G59" s="123" t="s">
        <v>82</v>
      </c>
      <c r="H59" s="75" t="s">
        <v>83</v>
      </c>
    </row>
    <row r="60" spans="1:8" ht="26.25" customHeight="1" x14ac:dyDescent="0.4">
      <c r="A60" s="73" t="s">
        <v>84</v>
      </c>
      <c r="B60" s="74">
        <v>5</v>
      </c>
      <c r="C60" s="393" t="s">
        <v>85</v>
      </c>
      <c r="D60" s="396">
        <v>78.05</v>
      </c>
      <c r="E60" s="124">
        <v>1</v>
      </c>
      <c r="F60" s="125">
        <v>26318815</v>
      </c>
      <c r="G60" s="126">
        <f>IF(ISBLANK(F60),"-",(F60/$D$50*$D$47*$B$68)*($B$57/$D$60))</f>
        <v>42.93997239417903</v>
      </c>
      <c r="H60" s="127">
        <f t="shared" ref="H60:H71" si="0">IF(ISBLANK(F60),"-",G60/$B$56)</f>
        <v>1.0734993098544758</v>
      </c>
    </row>
    <row r="61" spans="1:8" ht="26.25" customHeight="1" x14ac:dyDescent="0.4">
      <c r="A61" s="73" t="s">
        <v>86</v>
      </c>
      <c r="B61" s="74">
        <v>50</v>
      </c>
      <c r="C61" s="394"/>
      <c r="D61" s="397"/>
      <c r="E61" s="128">
        <v>2</v>
      </c>
      <c r="F61" s="84">
        <v>26329325</v>
      </c>
      <c r="G61" s="129">
        <f>IF(ISBLANK(F61),"-",(F61/$D$50*$D$47*$B$68)*($B$57/$D$60))</f>
        <v>42.957119788917844</v>
      </c>
      <c r="H61" s="130">
        <f t="shared" si="0"/>
        <v>1.0739279947229461</v>
      </c>
    </row>
    <row r="62" spans="1:8" ht="26.25" customHeight="1" x14ac:dyDescent="0.4">
      <c r="A62" s="73" t="s">
        <v>87</v>
      </c>
      <c r="B62" s="74">
        <v>1</v>
      </c>
      <c r="C62" s="394"/>
      <c r="D62" s="397"/>
      <c r="E62" s="128">
        <v>3</v>
      </c>
      <c r="F62" s="84">
        <v>26355657</v>
      </c>
      <c r="G62" s="129">
        <f>IF(ISBLANK(F62),"-",(F62/$D$50*$D$47*$B$68)*($B$57/$D$60))</f>
        <v>43.000081273053183</v>
      </c>
      <c r="H62" s="130">
        <f t="shared" si="0"/>
        <v>1.0750020318263296</v>
      </c>
    </row>
    <row r="63" spans="1:8" ht="27" customHeight="1" x14ac:dyDescent="0.4">
      <c r="A63" s="73" t="s">
        <v>88</v>
      </c>
      <c r="B63" s="74">
        <v>1</v>
      </c>
      <c r="C63" s="395"/>
      <c r="D63" s="398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89</v>
      </c>
      <c r="B64" s="74">
        <v>1</v>
      </c>
      <c r="C64" s="393" t="s">
        <v>90</v>
      </c>
      <c r="D64" s="396">
        <v>76.83</v>
      </c>
      <c r="E64" s="124">
        <v>1</v>
      </c>
      <c r="F64" s="125">
        <v>25815361</v>
      </c>
      <c r="G64" s="133">
        <f>IF(ISBLANK(F64),"-",(F64/$D$50*$D$47*$B$68)*($B$57/$D$64))</f>
        <v>42.78738120013697</v>
      </c>
      <c r="H64" s="134">
        <f t="shared" si="0"/>
        <v>1.0696845300034243</v>
      </c>
    </row>
    <row r="65" spans="1:8" ht="26.25" customHeight="1" x14ac:dyDescent="0.4">
      <c r="A65" s="73" t="s">
        <v>91</v>
      </c>
      <c r="B65" s="74">
        <v>1</v>
      </c>
      <c r="C65" s="394"/>
      <c r="D65" s="397"/>
      <c r="E65" s="128">
        <v>2</v>
      </c>
      <c r="F65" s="84">
        <v>25781586</v>
      </c>
      <c r="G65" s="135">
        <f>IF(ISBLANK(F65),"-",(F65/$D$50*$D$47*$B$68)*($B$57/$D$64))</f>
        <v>42.731401204349403</v>
      </c>
      <c r="H65" s="136">
        <f t="shared" si="0"/>
        <v>1.068285030108735</v>
      </c>
    </row>
    <row r="66" spans="1:8" ht="26.25" customHeight="1" x14ac:dyDescent="0.4">
      <c r="A66" s="73" t="s">
        <v>92</v>
      </c>
      <c r="B66" s="74">
        <v>1</v>
      </c>
      <c r="C66" s="394"/>
      <c r="D66" s="397"/>
      <c r="E66" s="128">
        <v>3</v>
      </c>
      <c r="F66" s="84">
        <v>25834067</v>
      </c>
      <c r="G66" s="135">
        <f>IF(ISBLANK(F66),"-",(F66/$D$50*$D$47*$B$68)*($B$57/$D$64))</f>
        <v>42.818385250505656</v>
      </c>
      <c r="H66" s="136">
        <f t="shared" si="0"/>
        <v>1.0704596312626413</v>
      </c>
    </row>
    <row r="67" spans="1:8" ht="27" customHeight="1" x14ac:dyDescent="0.4">
      <c r="A67" s="73" t="s">
        <v>93</v>
      </c>
      <c r="B67" s="74">
        <v>1</v>
      </c>
      <c r="C67" s="395"/>
      <c r="D67" s="398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94</v>
      </c>
      <c r="B68" s="139">
        <f>(B67/B66)*(B65/B64)*(B63/B62)*(B61/B60)*B59</f>
        <v>500</v>
      </c>
      <c r="C68" s="393" t="s">
        <v>95</v>
      </c>
      <c r="D68" s="396">
        <v>77.28</v>
      </c>
      <c r="E68" s="124">
        <v>1</v>
      </c>
      <c r="F68" s="125">
        <v>25933162</v>
      </c>
      <c r="G68" s="133">
        <f>IF(ISBLANK(F68),"-",(F68/$D$50*$D$47*$B$68)*($B$57/$D$68))</f>
        <v>42.732342100705445</v>
      </c>
      <c r="H68" s="130">
        <f t="shared" si="0"/>
        <v>1.0683085525176361</v>
      </c>
    </row>
    <row r="69" spans="1:8" ht="27" customHeight="1" x14ac:dyDescent="0.4">
      <c r="A69" s="115" t="s">
        <v>96</v>
      </c>
      <c r="B69" s="140">
        <f>(D47*B68)/B56*B57</f>
        <v>76.812187499999823</v>
      </c>
      <c r="C69" s="394"/>
      <c r="D69" s="397"/>
      <c r="E69" s="128">
        <v>2</v>
      </c>
      <c r="F69" s="84">
        <v>25898007</v>
      </c>
      <c r="G69" s="135">
        <f>IF(ISBLANK(F69),"-",(F69/$D$50*$D$47*$B$68)*($B$57/$D$68))</f>
        <v>42.674414128537983</v>
      </c>
      <c r="H69" s="130">
        <f t="shared" si="0"/>
        <v>1.0668603532134495</v>
      </c>
    </row>
    <row r="70" spans="1:8" ht="26.25" customHeight="1" x14ac:dyDescent="0.4">
      <c r="A70" s="400" t="s">
        <v>69</v>
      </c>
      <c r="B70" s="401"/>
      <c r="C70" s="394"/>
      <c r="D70" s="397"/>
      <c r="E70" s="128">
        <v>3</v>
      </c>
      <c r="F70" s="84">
        <v>25895142</v>
      </c>
      <c r="G70" s="135">
        <f>IF(ISBLANK(F70),"-",(F70/$D$50*$D$47*$B$68)*($B$57/$D$68))</f>
        <v>42.669693217138189</v>
      </c>
      <c r="H70" s="130">
        <f t="shared" si="0"/>
        <v>1.0667423304284547</v>
      </c>
    </row>
    <row r="71" spans="1:8" ht="27" customHeight="1" x14ac:dyDescent="0.4">
      <c r="A71" s="402"/>
      <c r="B71" s="403"/>
      <c r="C71" s="399"/>
      <c r="D71" s="398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62</v>
      </c>
      <c r="H72" s="145">
        <f>AVERAGE(H60:H71)</f>
        <v>1.0703077515486767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75</v>
      </c>
      <c r="H73" s="147">
        <f>STDEV(H60:H71)/H72</f>
        <v>2.9253201096260252E-3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19</v>
      </c>
      <c r="H74" s="150">
        <f>COUNT(H60:H71)</f>
        <v>9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97</v>
      </c>
      <c r="B76" s="154" t="s">
        <v>98</v>
      </c>
      <c r="C76" s="404" t="str">
        <f>B20</f>
        <v>ESOMEPRAZOLE 40mg</v>
      </c>
      <c r="D76" s="404"/>
      <c r="E76" s="155" t="s">
        <v>99</v>
      </c>
      <c r="F76" s="155"/>
      <c r="G76" s="156">
        <f>H72</f>
        <v>1.0703077515486767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392" t="s">
        <v>25</v>
      </c>
      <c r="C78" s="392"/>
      <c r="D78" s="52"/>
      <c r="E78" s="159" t="s">
        <v>26</v>
      </c>
      <c r="F78" s="160"/>
      <c r="G78" s="392" t="s">
        <v>27</v>
      </c>
      <c r="H78" s="392"/>
    </row>
    <row r="79" spans="1:8" ht="60" customHeight="1" x14ac:dyDescent="0.3">
      <c r="A79" s="161" t="s">
        <v>28</v>
      </c>
      <c r="B79" s="162" t="s">
        <v>148</v>
      </c>
      <c r="C79" s="162"/>
      <c r="D79" s="52"/>
      <c r="E79" s="163"/>
      <c r="F79" s="164"/>
      <c r="G79" s="165"/>
      <c r="H79" s="165"/>
    </row>
    <row r="80" spans="1:8" ht="60" customHeight="1" x14ac:dyDescent="0.3">
      <c r="A80" s="161" t="s">
        <v>29</v>
      </c>
      <c r="B80" s="166"/>
      <c r="C80" s="166"/>
      <c r="D80" s="52"/>
      <c r="E80" s="167"/>
      <c r="F80" s="164"/>
      <c r="G80" s="168"/>
      <c r="H80" s="168"/>
    </row>
    <row r="250" spans="1:1" x14ac:dyDescent="0.2">
      <c r="A250">
        <v>5</v>
      </c>
    </row>
  </sheetData>
  <sheetProtection password="F3F3" sheet="1" formatColumns="0" formatRows="0" insertColumns="0" insertHyperlinks="0" deleteColumns="0" deleteRows="0" autoFilter="0" pivotTables="0"/>
  <mergeCells count="22">
    <mergeCell ref="A1:H7"/>
    <mergeCell ref="A8:H14"/>
    <mergeCell ref="C60:C63"/>
    <mergeCell ref="D60:D63"/>
    <mergeCell ref="A16:H16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8" priority="1" operator="greaterThan">
      <formula>0.02</formula>
    </cfRule>
  </conditionalFormatting>
  <conditionalFormatting sqref="H73">
    <cfRule type="cellIs" dxfId="7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1" zoomScale="50" zoomScaleNormal="75" zoomScalePageLayoutView="50" workbookViewId="0">
      <selection activeCell="E63" sqref="E63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405" t="s">
        <v>100</v>
      </c>
      <c r="B1" s="405"/>
      <c r="C1" s="405"/>
      <c r="D1" s="405"/>
      <c r="E1" s="405"/>
      <c r="F1" s="405"/>
      <c r="G1" s="405"/>
      <c r="H1" s="405"/>
      <c r="I1" s="405"/>
    </row>
    <row r="2" spans="1:9" ht="15" x14ac:dyDescent="0.3">
      <c r="A2" s="405"/>
      <c r="B2" s="405"/>
      <c r="C2" s="405"/>
      <c r="D2" s="405"/>
      <c r="E2" s="405"/>
      <c r="F2" s="405"/>
      <c r="G2" s="405"/>
      <c r="H2" s="405"/>
      <c r="I2" s="405"/>
    </row>
    <row r="3" spans="1:9" ht="15" x14ac:dyDescent="0.3">
      <c r="A3" s="405"/>
      <c r="B3" s="405"/>
      <c r="C3" s="405"/>
      <c r="D3" s="405"/>
      <c r="E3" s="405"/>
      <c r="F3" s="405"/>
      <c r="G3" s="405"/>
      <c r="H3" s="405"/>
      <c r="I3" s="405"/>
    </row>
    <row r="4" spans="1:9" ht="15" x14ac:dyDescent="0.3">
      <c r="A4" s="405"/>
      <c r="B4" s="405"/>
      <c r="C4" s="405"/>
      <c r="D4" s="405"/>
      <c r="E4" s="405"/>
      <c r="F4" s="405"/>
      <c r="G4" s="405"/>
      <c r="H4" s="405"/>
      <c r="I4" s="405"/>
    </row>
    <row r="5" spans="1:9" ht="15" x14ac:dyDescent="0.3">
      <c r="A5" s="405"/>
      <c r="B5" s="405"/>
      <c r="C5" s="405"/>
      <c r="D5" s="405"/>
      <c r="E5" s="405"/>
      <c r="F5" s="405"/>
      <c r="G5" s="405"/>
      <c r="H5" s="405"/>
      <c r="I5" s="405"/>
    </row>
    <row r="6" spans="1:9" ht="15" x14ac:dyDescent="0.3">
      <c r="A6" s="405"/>
      <c r="B6" s="405"/>
      <c r="C6" s="405"/>
      <c r="D6" s="405"/>
      <c r="E6" s="405"/>
      <c r="F6" s="405"/>
      <c r="G6" s="405"/>
      <c r="H6" s="405"/>
      <c r="I6" s="405"/>
    </row>
    <row r="7" spans="1:9" ht="15" x14ac:dyDescent="0.3">
      <c r="A7" s="405"/>
      <c r="B7" s="405"/>
      <c r="C7" s="405"/>
      <c r="D7" s="405"/>
      <c r="E7" s="405"/>
      <c r="F7" s="405"/>
      <c r="G7" s="405"/>
      <c r="H7" s="405"/>
      <c r="I7" s="405"/>
    </row>
    <row r="8" spans="1:9" ht="15" x14ac:dyDescent="0.3">
      <c r="A8" s="406" t="s">
        <v>31</v>
      </c>
      <c r="B8" s="406"/>
      <c r="C8" s="406"/>
      <c r="D8" s="406"/>
      <c r="E8" s="406"/>
      <c r="F8" s="406"/>
      <c r="G8" s="406"/>
      <c r="H8" s="406"/>
      <c r="I8" s="406"/>
    </row>
    <row r="9" spans="1:9" ht="15" x14ac:dyDescent="0.3">
      <c r="A9" s="406"/>
      <c r="B9" s="406"/>
      <c r="C9" s="406"/>
      <c r="D9" s="406"/>
      <c r="E9" s="406"/>
      <c r="F9" s="406"/>
      <c r="G9" s="406"/>
      <c r="H9" s="406"/>
      <c r="I9" s="406"/>
    </row>
    <row r="10" spans="1:9" ht="15" x14ac:dyDescent="0.3">
      <c r="A10" s="406"/>
      <c r="B10" s="406"/>
      <c r="C10" s="406"/>
      <c r="D10" s="406"/>
      <c r="E10" s="406"/>
      <c r="F10" s="406"/>
      <c r="G10" s="406"/>
      <c r="H10" s="406"/>
      <c r="I10" s="406"/>
    </row>
    <row r="11" spans="1:9" ht="15" x14ac:dyDescent="0.3">
      <c r="A11" s="406"/>
      <c r="B11" s="406"/>
      <c r="C11" s="406"/>
      <c r="D11" s="406"/>
      <c r="E11" s="406"/>
      <c r="F11" s="406"/>
      <c r="G11" s="406"/>
      <c r="H11" s="406"/>
      <c r="I11" s="406"/>
    </row>
    <row r="12" spans="1:9" ht="15" x14ac:dyDescent="0.3">
      <c r="A12" s="406"/>
      <c r="B12" s="406"/>
      <c r="C12" s="406"/>
      <c r="D12" s="406"/>
      <c r="E12" s="406"/>
      <c r="F12" s="406"/>
      <c r="G12" s="406"/>
      <c r="H12" s="406"/>
      <c r="I12" s="406"/>
    </row>
    <row r="13" spans="1:9" ht="15" x14ac:dyDescent="0.3">
      <c r="A13" s="406"/>
      <c r="B13" s="406"/>
      <c r="C13" s="406"/>
      <c r="D13" s="406"/>
      <c r="E13" s="406"/>
      <c r="F13" s="406"/>
      <c r="G13" s="406"/>
      <c r="H13" s="406"/>
      <c r="I13" s="406"/>
    </row>
    <row r="14" spans="1:9" ht="15" x14ac:dyDescent="0.3">
      <c r="A14" s="406"/>
      <c r="B14" s="406"/>
      <c r="C14" s="406"/>
      <c r="D14" s="406"/>
      <c r="E14" s="406"/>
      <c r="F14" s="406"/>
      <c r="G14" s="406"/>
      <c r="H14" s="406"/>
      <c r="I14" s="406"/>
    </row>
    <row r="15" spans="1:9" ht="19.5" customHeight="1" x14ac:dyDescent="0.3"/>
    <row r="16" spans="1:9" ht="19.5" customHeight="1" x14ac:dyDescent="0.3">
      <c r="A16" s="422" t="s">
        <v>32</v>
      </c>
      <c r="B16" s="423"/>
      <c r="C16" s="423"/>
      <c r="D16" s="423"/>
      <c r="E16" s="423"/>
      <c r="F16" s="423"/>
      <c r="G16" s="423"/>
      <c r="H16" s="424"/>
    </row>
    <row r="17" spans="1:14" ht="18.75" x14ac:dyDescent="0.3">
      <c r="A17" s="425" t="s">
        <v>33</v>
      </c>
      <c r="B17" s="425"/>
      <c r="C17" s="425"/>
      <c r="D17" s="425"/>
      <c r="E17" s="425"/>
      <c r="F17" s="425"/>
      <c r="G17" s="425"/>
      <c r="H17" s="425"/>
    </row>
    <row r="18" spans="1:14" ht="26.25" x14ac:dyDescent="0.4">
      <c r="A18" s="177" t="s">
        <v>34</v>
      </c>
      <c r="B18" s="410" t="s">
        <v>5</v>
      </c>
      <c r="C18" s="410"/>
      <c r="D18" s="410"/>
      <c r="E18" s="410"/>
    </row>
    <row r="19" spans="1:14" ht="18.75" x14ac:dyDescent="0.3">
      <c r="A19" s="177" t="s">
        <v>35</v>
      </c>
      <c r="B19" s="207" t="s">
        <v>7</v>
      </c>
      <c r="C19" s="296">
        <v>22</v>
      </c>
    </row>
    <row r="20" spans="1:14" ht="18.75" x14ac:dyDescent="0.3">
      <c r="A20" s="177" t="s">
        <v>36</v>
      </c>
      <c r="B20" s="207" t="s">
        <v>101</v>
      </c>
    </row>
    <row r="21" spans="1:14" ht="18.75" x14ac:dyDescent="0.3">
      <c r="A21" s="177" t="s">
        <v>37</v>
      </c>
      <c r="B21" s="178" t="s">
        <v>102</v>
      </c>
      <c r="C21" s="178"/>
      <c r="D21" s="178"/>
      <c r="E21" s="178"/>
      <c r="F21" s="178"/>
      <c r="G21" s="178"/>
      <c r="H21" s="178"/>
      <c r="I21" s="174"/>
    </row>
    <row r="22" spans="1:14" ht="18.75" x14ac:dyDescent="0.3">
      <c r="A22" s="177" t="s">
        <v>38</v>
      </c>
      <c r="B22" s="208">
        <v>42073</v>
      </c>
    </row>
    <row r="23" spans="1:14" ht="18.75" x14ac:dyDescent="0.3">
      <c r="A23" s="177" t="s">
        <v>39</v>
      </c>
      <c r="B23" s="208">
        <v>42073</v>
      </c>
    </row>
    <row r="24" spans="1:14" ht="18.75" x14ac:dyDescent="0.3">
      <c r="A24" s="177"/>
      <c r="B24" s="179"/>
    </row>
    <row r="25" spans="1:14" ht="18.75" x14ac:dyDescent="0.3">
      <c r="A25" s="180" t="s">
        <v>1</v>
      </c>
      <c r="B25" s="186" t="s">
        <v>103</v>
      </c>
    </row>
    <row r="26" spans="1:14" s="37" customFormat="1" ht="18.75" x14ac:dyDescent="0.3">
      <c r="A26" s="181"/>
      <c r="B26" s="182"/>
      <c r="C26" s="204"/>
      <c r="D26" s="204"/>
      <c r="E26" s="204"/>
      <c r="F26" s="204"/>
      <c r="G26" s="176"/>
      <c r="H26" s="204"/>
      <c r="I26" s="205"/>
      <c r="J26" s="205"/>
      <c r="K26" s="205"/>
      <c r="L26" s="171"/>
      <c r="M26" s="171"/>
      <c r="N26" s="206"/>
    </row>
    <row r="27" spans="1:14" s="37" customFormat="1" ht="26.25" customHeight="1" x14ac:dyDescent="0.4">
      <c r="A27" s="215" t="s">
        <v>4</v>
      </c>
      <c r="B27" s="240" t="s">
        <v>101</v>
      </c>
      <c r="C27" s="238"/>
      <c r="D27" s="223"/>
      <c r="E27" s="216"/>
      <c r="F27" s="216"/>
      <c r="G27" s="216"/>
      <c r="H27" s="204"/>
      <c r="I27" s="205"/>
      <c r="J27" s="205"/>
      <c r="K27" s="205"/>
      <c r="L27" s="171"/>
      <c r="M27" s="171"/>
      <c r="N27" s="206"/>
    </row>
    <row r="28" spans="1:14" s="37" customFormat="1" ht="26.25" customHeight="1" x14ac:dyDescent="0.4">
      <c r="A28" s="183" t="s">
        <v>104</v>
      </c>
      <c r="B28" s="238">
        <v>58.44</v>
      </c>
      <c r="C28" s="239"/>
      <c r="D28" s="214"/>
      <c r="E28" s="214"/>
      <c r="F28" s="214"/>
      <c r="G28" s="214"/>
      <c r="H28" s="212"/>
      <c r="I28" s="205"/>
      <c r="J28" s="205"/>
      <c r="K28" s="205"/>
      <c r="L28" s="171"/>
      <c r="M28" s="171"/>
      <c r="N28" s="206"/>
    </row>
    <row r="29" spans="1:14" s="37" customFormat="1" ht="26.25" customHeight="1" x14ac:dyDescent="0.4">
      <c r="A29" s="264" t="s">
        <v>105</v>
      </c>
      <c r="B29" s="265">
        <v>0.1</v>
      </c>
      <c r="C29" s="239"/>
      <c r="D29" s="214"/>
      <c r="E29" s="214"/>
      <c r="F29" s="214"/>
      <c r="G29" s="214"/>
      <c r="H29" s="212"/>
      <c r="I29" s="205"/>
      <c r="J29" s="205"/>
      <c r="K29" s="205"/>
      <c r="L29" s="171"/>
      <c r="M29" s="171"/>
      <c r="N29" s="206"/>
    </row>
    <row r="30" spans="1:14" s="37" customFormat="1" ht="18.75" x14ac:dyDescent="0.3">
      <c r="A30" s="229" t="s">
        <v>106</v>
      </c>
      <c r="B30" s="224">
        <v>1</v>
      </c>
      <c r="C30" s="225" t="s">
        <v>107</v>
      </c>
      <c r="D30" s="224">
        <v>1</v>
      </c>
      <c r="F30" s="204"/>
      <c r="G30" s="176"/>
      <c r="H30" s="204"/>
      <c r="I30" s="205"/>
      <c r="J30" s="205"/>
      <c r="K30" s="205"/>
      <c r="L30" s="171"/>
      <c r="M30" s="171"/>
      <c r="N30" s="206"/>
    </row>
    <row r="31" spans="1:14" s="37" customFormat="1" ht="18.75" x14ac:dyDescent="0.3">
      <c r="A31" s="181"/>
      <c r="B31" s="182"/>
      <c r="C31" s="204"/>
      <c r="D31" s="204"/>
      <c r="E31" s="204"/>
      <c r="F31" s="204"/>
      <c r="G31" s="176"/>
      <c r="H31" s="204"/>
      <c r="I31" s="205"/>
      <c r="J31" s="205"/>
      <c r="K31" s="205"/>
      <c r="L31" s="171"/>
      <c r="M31" s="171"/>
      <c r="N31" s="206"/>
    </row>
    <row r="32" spans="1:14" s="37" customFormat="1" ht="19.5" customHeight="1" x14ac:dyDescent="0.3">
      <c r="A32" s="181"/>
      <c r="B32" s="182"/>
      <c r="C32" s="204"/>
      <c r="D32" s="204"/>
      <c r="E32" s="204"/>
      <c r="F32" s="204"/>
      <c r="G32" s="176"/>
      <c r="H32" s="204"/>
      <c r="I32" s="205"/>
      <c r="J32" s="205"/>
      <c r="K32" s="205"/>
      <c r="L32" s="171"/>
      <c r="M32" s="171"/>
      <c r="N32" s="206"/>
    </row>
    <row r="33" spans="1:14" s="37" customFormat="1" ht="19.5" customHeight="1" x14ac:dyDescent="0.3">
      <c r="A33" s="190" t="s">
        <v>108</v>
      </c>
      <c r="B33" s="190" t="s">
        <v>109</v>
      </c>
      <c r="C33" s="233" t="s">
        <v>110</v>
      </c>
      <c r="D33" s="190" t="s">
        <v>111</v>
      </c>
      <c r="E33" s="237" t="s">
        <v>112</v>
      </c>
      <c r="F33" s="241" t="s">
        <v>113</v>
      </c>
      <c r="G33" s="190" t="s">
        <v>114</v>
      </c>
      <c r="J33" s="205"/>
      <c r="K33" s="205"/>
      <c r="L33" s="171"/>
      <c r="M33" s="171"/>
      <c r="N33" s="206"/>
    </row>
    <row r="34" spans="1:14" s="37" customFormat="1" ht="26.25" customHeight="1" x14ac:dyDescent="0.4">
      <c r="A34" s="226" t="s">
        <v>115</v>
      </c>
      <c r="B34" s="230">
        <v>50.24</v>
      </c>
      <c r="C34" s="234">
        <f>IF(ISBLANK(B34), "-",B34/$B$28*($B$30/$D$30))</f>
        <v>0.85968514715947986</v>
      </c>
      <c r="D34" s="298">
        <v>8.7469999999999999</v>
      </c>
      <c r="E34" s="266">
        <f>IF(ISBLANK(B34), "-",C34/D34)</f>
        <v>9.8283428279350618E-2</v>
      </c>
      <c r="F34" s="275">
        <f>IF(ISBLANK(B34), "-",(E34-$B$29)/$B$29)</f>
        <v>-1.7165717206493875E-2</v>
      </c>
      <c r="G34" s="269">
        <f>IF(ISBLANK(B34),"-",E34/$B$29)</f>
        <v>0.98283428279350615</v>
      </c>
      <c r="J34" s="205"/>
      <c r="K34" s="205"/>
      <c r="L34" s="171"/>
      <c r="M34" s="171"/>
      <c r="N34" s="206"/>
    </row>
    <row r="35" spans="1:14" s="37" customFormat="1" ht="26.25" customHeight="1" x14ac:dyDescent="0.4">
      <c r="A35" s="227" t="s">
        <v>116</v>
      </c>
      <c r="B35" s="231">
        <v>49.42</v>
      </c>
      <c r="C35" s="235">
        <f>IF(ISBLANK(B35), "-",B35/$B$28*($B$30/$D$30))</f>
        <v>0.8456536618754279</v>
      </c>
      <c r="D35" s="299">
        <v>8.6159999999999997</v>
      </c>
      <c r="E35" s="267">
        <f>IF(ISBLANK(B35), "-",C35/D35)</f>
        <v>9.8149217952115592E-2</v>
      </c>
      <c r="F35" s="276">
        <f>IF(ISBLANK(B35), "-",(E35-$B$29)/$B$29)</f>
        <v>-1.8507820478844139E-2</v>
      </c>
      <c r="G35" s="270">
        <f>IF(ISBLANK(B35),"-",E35/$B$29)</f>
        <v>0.98149217952115586</v>
      </c>
      <c r="J35" s="205"/>
      <c r="K35" s="205"/>
      <c r="L35" s="171"/>
      <c r="M35" s="171"/>
      <c r="N35" s="206"/>
    </row>
    <row r="36" spans="1:14" s="37" customFormat="1" ht="26.25" customHeight="1" x14ac:dyDescent="0.4">
      <c r="A36" s="227" t="s">
        <v>117</v>
      </c>
      <c r="B36" s="231">
        <v>51.29</v>
      </c>
      <c r="C36" s="235">
        <f>IF(ISBLANK(B36), "-",B36/$B$28*($B$30/$D$30))</f>
        <v>0.87765229295003422</v>
      </c>
      <c r="D36" s="299">
        <v>8.9489999999999998</v>
      </c>
      <c r="E36" s="267">
        <f>IF(ISBLANK(B36), "-",C36/D36)</f>
        <v>9.8072666549338952E-2</v>
      </c>
      <c r="F36" s="276">
        <f>IF(ISBLANK(B36), "-",(E36-$B$29)/$B$29)</f>
        <v>-1.9273334506610534E-2</v>
      </c>
      <c r="G36" s="270">
        <f>IF(ISBLANK(B36),"-",E36/$B$29)</f>
        <v>0.98072666549338949</v>
      </c>
      <c r="J36" s="205"/>
      <c r="K36" s="205"/>
      <c r="L36" s="171"/>
      <c r="M36" s="171"/>
      <c r="N36" s="206"/>
    </row>
    <row r="37" spans="1:14" s="37" customFormat="1" ht="27" customHeight="1" x14ac:dyDescent="0.4">
      <c r="A37" s="228" t="s">
        <v>118</v>
      </c>
      <c r="B37" s="232"/>
      <c r="C37" s="236" t="str">
        <f>IF(ISBLANK(B37), "-",B37/$B$28*($B$30/$D$30))</f>
        <v>-</v>
      </c>
      <c r="D37" s="300"/>
      <c r="E37" s="268" t="str">
        <f>IF(ISBLANK(B37), "-",C37/D37)</f>
        <v>-</v>
      </c>
      <c r="F37" s="277" t="str">
        <f>IF(ISBLANK(B37), "-",(E37-$B$29)/$B$29)</f>
        <v>-</v>
      </c>
      <c r="G37" s="271" t="str">
        <f>IF(ISBLANK(B37),"-",E37/$B$29)</f>
        <v>-</v>
      </c>
      <c r="J37" s="205"/>
      <c r="K37" s="205"/>
      <c r="L37" s="171"/>
      <c r="M37" s="171"/>
      <c r="N37" s="206"/>
    </row>
    <row r="38" spans="1:14" ht="19.5" customHeight="1" x14ac:dyDescent="0.3">
      <c r="A38" s="170"/>
      <c r="B38" s="170"/>
      <c r="C38" s="170"/>
      <c r="D38" s="254" t="s">
        <v>119</v>
      </c>
      <c r="E38" s="222">
        <f>AVERAGE(E34:E37)</f>
        <v>9.8168437593601721E-2</v>
      </c>
      <c r="F38" s="294">
        <f>AVERAGE(F34:F37)</f>
        <v>-1.8315624063982849E-2</v>
      </c>
      <c r="G38" s="293">
        <f>AVERAGE(G34:G37)</f>
        <v>0.9816843759360171</v>
      </c>
      <c r="H38" s="170"/>
      <c r="L38" s="171"/>
      <c r="M38" s="171"/>
      <c r="N38" s="172"/>
    </row>
    <row r="39" spans="1:14" ht="18.75" x14ac:dyDescent="0.3">
      <c r="A39" s="170"/>
      <c r="B39" s="209"/>
      <c r="C39" s="211"/>
      <c r="D39" s="218" t="s">
        <v>75</v>
      </c>
      <c r="E39" s="219">
        <f>STDEV(E34:E37)/E38</f>
        <v>1.0867776687361361E-3</v>
      </c>
      <c r="F39" s="273"/>
      <c r="G39" s="170"/>
      <c r="H39" s="170"/>
    </row>
    <row r="40" spans="1:14" ht="19.5" customHeight="1" x14ac:dyDescent="0.3">
      <c r="A40" s="170"/>
      <c r="B40" s="209"/>
      <c r="C40" s="211"/>
      <c r="D40" s="220" t="s">
        <v>19</v>
      </c>
      <c r="E40" s="221">
        <f>COUNT(E34:E37)</f>
        <v>3</v>
      </c>
      <c r="F40" s="274"/>
      <c r="G40" s="170"/>
      <c r="H40" s="170"/>
    </row>
    <row r="41" spans="1:14" ht="18.75" x14ac:dyDescent="0.3">
      <c r="A41" s="213"/>
      <c r="B41" s="210"/>
      <c r="C41" s="209"/>
      <c r="D41" s="209"/>
      <c r="E41" s="209"/>
      <c r="F41" s="272"/>
      <c r="G41" s="170"/>
      <c r="H41" s="170"/>
    </row>
    <row r="43" spans="1:14" ht="18.75" x14ac:dyDescent="0.3">
      <c r="A43" s="185" t="s">
        <v>1</v>
      </c>
      <c r="B43" s="186" t="s">
        <v>76</v>
      </c>
    </row>
    <row r="44" spans="1:14" ht="18.75" x14ac:dyDescent="0.3">
      <c r="A44" s="181" t="s">
        <v>77</v>
      </c>
      <c r="B44" s="187" t="str">
        <f>B21</f>
        <v>Each 100 mL contains 900 mg Sodium Chloride</v>
      </c>
    </row>
    <row r="45" spans="1:14" ht="18.75" x14ac:dyDescent="0.3">
      <c r="A45" s="188"/>
      <c r="B45" s="297"/>
      <c r="H45" s="189"/>
    </row>
    <row r="46" spans="1:14" ht="26.25" customHeight="1" x14ac:dyDescent="0.4">
      <c r="A46" s="187" t="s">
        <v>120</v>
      </c>
      <c r="B46" s="310">
        <v>100</v>
      </c>
      <c r="C46" s="176" t="s">
        <v>121</v>
      </c>
      <c r="D46" s="311">
        <v>900</v>
      </c>
      <c r="E46" s="176" t="str">
        <f>B20</f>
        <v>Sodium Chloride</v>
      </c>
      <c r="H46" s="189"/>
    </row>
    <row r="47" spans="1:14" ht="18.75" x14ac:dyDescent="0.3">
      <c r="A47" s="187"/>
      <c r="B47" s="295"/>
      <c r="H47" s="189"/>
    </row>
    <row r="48" spans="1:14" ht="26.25" customHeight="1" x14ac:dyDescent="0.4">
      <c r="A48" s="181" t="s">
        <v>122</v>
      </c>
      <c r="B48" s="312">
        <v>5.8440000000000003</v>
      </c>
      <c r="C48" s="170" t="str">
        <f>B20</f>
        <v>Sodium Chloride</v>
      </c>
      <c r="H48" s="189"/>
    </row>
    <row r="49" spans="1:10" ht="19.5" customHeight="1" x14ac:dyDescent="0.3">
      <c r="A49" s="170"/>
      <c r="B49" s="170"/>
      <c r="C49" s="170"/>
      <c r="D49" s="170"/>
      <c r="H49" s="189"/>
    </row>
    <row r="50" spans="1:10" ht="19.5" customHeight="1" x14ac:dyDescent="0.3">
      <c r="C50" s="170"/>
      <c r="D50" s="170"/>
      <c r="E50" s="170"/>
      <c r="F50" s="170"/>
      <c r="G50" s="420" t="s">
        <v>123</v>
      </c>
      <c r="H50" s="421"/>
      <c r="J50" s="283"/>
    </row>
    <row r="51" spans="1:10" ht="19.5" customHeight="1" x14ac:dyDescent="0.3">
      <c r="A51" s="242" t="s">
        <v>124</v>
      </c>
      <c r="B51" s="190" t="s">
        <v>125</v>
      </c>
      <c r="C51" s="190" t="s">
        <v>126</v>
      </c>
      <c r="D51" s="190" t="s">
        <v>127</v>
      </c>
      <c r="E51" s="190" t="s">
        <v>128</v>
      </c>
      <c r="F51" s="257" t="s">
        <v>129</v>
      </c>
      <c r="G51" s="190" t="s">
        <v>130</v>
      </c>
      <c r="H51" s="190" t="s">
        <v>131</v>
      </c>
      <c r="I51" s="309" t="s">
        <v>132</v>
      </c>
      <c r="J51" s="243"/>
    </row>
    <row r="52" spans="1:10" ht="26.25" customHeight="1" x14ac:dyDescent="0.4">
      <c r="A52" s="244" t="s">
        <v>115</v>
      </c>
      <c r="B52" s="247">
        <v>5</v>
      </c>
      <c r="C52" s="301">
        <v>7.7640000000000002</v>
      </c>
      <c r="D52" s="251">
        <v>0</v>
      </c>
      <c r="E52" s="304">
        <f>IF(ISBLANK(B52),"-",C52-$D$56)</f>
        <v>7.7640000000000002</v>
      </c>
      <c r="F52" s="260">
        <f>IF(ISBLANK(B52), "-",E52*$G$38)</f>
        <v>7.6217974947672369</v>
      </c>
      <c r="G52" s="278">
        <f>IF(ISBLANK(B52),"-",F52*$B$48)</f>
        <v>44.541784559419732</v>
      </c>
      <c r="H52" s="259">
        <f>IF(ISBLANK(B52),"-",G52*$B$46/B52)</f>
        <v>890.83569118839455</v>
      </c>
      <c r="I52" s="289">
        <f>IF(ISBLANK(B52),"-",H52/$D$46)</f>
        <v>0.9898174346537717</v>
      </c>
      <c r="J52" s="284"/>
    </row>
    <row r="53" spans="1:10" ht="26.25" customHeight="1" x14ac:dyDescent="0.4">
      <c r="A53" s="245" t="s">
        <v>116</v>
      </c>
      <c r="B53" s="248">
        <v>5</v>
      </c>
      <c r="C53" s="302">
        <v>7.7530000000000001</v>
      </c>
      <c r="D53" s="252">
        <v>0</v>
      </c>
      <c r="E53" s="305">
        <f>IF(ISBLANK(B53),"-",C53-$D$56)</f>
        <v>7.7530000000000001</v>
      </c>
      <c r="F53" s="261">
        <f>IF(ISBLANK(B53), "-",E53*$G$38)</f>
        <v>7.6109989666319411</v>
      </c>
      <c r="G53" s="279">
        <f>IF(ISBLANK(B53),"-",F53*$B$48)</f>
        <v>44.478677960997068</v>
      </c>
      <c r="H53" s="282">
        <f>IF(ISBLANK(B53),"-",G53*$B$46/B53)</f>
        <v>889.57355921994133</v>
      </c>
      <c r="I53" s="290">
        <f>IF(ISBLANK(B53),"-",H53/$D$46)</f>
        <v>0.98841506579993477</v>
      </c>
      <c r="J53" s="284"/>
    </row>
    <row r="54" spans="1:10" ht="26.25" customHeight="1" x14ac:dyDescent="0.4">
      <c r="A54" s="245" t="s">
        <v>117</v>
      </c>
      <c r="B54" s="248">
        <v>5</v>
      </c>
      <c r="C54" s="302">
        <v>7.6509999999999998</v>
      </c>
      <c r="D54" s="252">
        <v>0</v>
      </c>
      <c r="E54" s="305">
        <f>IF(ISBLANK(B54),"-",C54-$D$56)</f>
        <v>7.6509999999999998</v>
      </c>
      <c r="F54" s="261">
        <f>IF(ISBLANK(B54), "-",E54*$G$38)</f>
        <v>7.5108671602864669</v>
      </c>
      <c r="G54" s="279">
        <f>IF(ISBLANK(B54),"-",F54*$B$48)</f>
        <v>43.893507684714116</v>
      </c>
      <c r="H54" s="282">
        <f>IF(ISBLANK(B54),"-",G54*$B$46/B54)</f>
        <v>877.87015369428229</v>
      </c>
      <c r="I54" s="290">
        <f>IF(ISBLANK(B54),"-",H54/$D$46)</f>
        <v>0.9754112818825359</v>
      </c>
      <c r="J54" s="284"/>
    </row>
    <row r="55" spans="1:10" ht="27" customHeight="1" x14ac:dyDescent="0.4">
      <c r="A55" s="246" t="s">
        <v>118</v>
      </c>
      <c r="B55" s="249"/>
      <c r="C55" s="303"/>
      <c r="D55" s="253"/>
      <c r="E55" s="263" t="str">
        <f>IF(ISBLANK(B55),"-",C55-$D$56)</f>
        <v>-</v>
      </c>
      <c r="F55" s="262" t="str">
        <f>IF(ISBLANK(B55), "-",E55*$G$38)</f>
        <v>-</v>
      </c>
      <c r="G55" s="280" t="str">
        <f>IF(ISBLANK(B55),"-",F55*$B$48)</f>
        <v>-</v>
      </c>
      <c r="H55" s="292" t="str">
        <f>IF(ISBLANK(B55),"-",G55*$B$46/B55)</f>
        <v>-</v>
      </c>
      <c r="I55" s="290" t="str">
        <f>IF(ISBLANK(B55),"-",H55/$D$46)</f>
        <v>-</v>
      </c>
      <c r="J55" s="285"/>
    </row>
    <row r="56" spans="1:10" ht="26.25" customHeight="1" x14ac:dyDescent="0.4">
      <c r="C56" s="217" t="s">
        <v>119</v>
      </c>
      <c r="D56" s="250">
        <f>AVERAGE(D52:D55)</f>
        <v>0</v>
      </c>
      <c r="F56" s="217" t="s">
        <v>119</v>
      </c>
      <c r="G56" s="258">
        <f>AVERAGE(G52:G55)</f>
        <v>44.304656735043636</v>
      </c>
      <c r="H56" s="306">
        <f>AVERAGE(H52:H55)</f>
        <v>886.09313470087272</v>
      </c>
      <c r="I56" s="291">
        <f>AVERAGE(I52:I55)</f>
        <v>0.98454792744541419</v>
      </c>
      <c r="J56" s="286"/>
    </row>
    <row r="57" spans="1:10" ht="26.25" customHeight="1" x14ac:dyDescent="0.4">
      <c r="C57" s="218" t="s">
        <v>75</v>
      </c>
      <c r="D57" s="219" t="str">
        <f>IF(D56=0,"-",STDEV(D52:D55)/D56)</f>
        <v>-</v>
      </c>
      <c r="F57" s="218" t="s">
        <v>75</v>
      </c>
      <c r="G57" s="281"/>
      <c r="H57" s="307">
        <f>STDEV(H52:H55)/H56</f>
        <v>8.0682458001251744E-3</v>
      </c>
      <c r="I57" s="255">
        <f>STDEV(I52:I55)/I56</f>
        <v>8.0682458001251484E-3</v>
      </c>
      <c r="J57" s="287"/>
    </row>
    <row r="58" spans="1:10" ht="27" customHeight="1" x14ac:dyDescent="0.4">
      <c r="C58" s="220" t="s">
        <v>19</v>
      </c>
      <c r="D58" s="221">
        <f>COUNT(D52:D55)</f>
        <v>3</v>
      </c>
      <c r="F58" s="220" t="s">
        <v>19</v>
      </c>
      <c r="G58" s="256">
        <f>COUNT(G52:G55)</f>
        <v>3</v>
      </c>
      <c r="H58" s="308">
        <f>COUNT(H52:H55)</f>
        <v>3</v>
      </c>
      <c r="I58" s="256">
        <f>COUNT(I52:I55)</f>
        <v>3</v>
      </c>
      <c r="J58" s="288"/>
    </row>
    <row r="59" spans="1:10" ht="18.75" x14ac:dyDescent="0.3">
      <c r="H59" s="189"/>
      <c r="J59" s="172"/>
    </row>
    <row r="60" spans="1:10" ht="18.75" x14ac:dyDescent="0.3">
      <c r="H60" s="189"/>
    </row>
    <row r="61" spans="1:10" ht="19.5" customHeight="1" x14ac:dyDescent="0.3">
      <c r="A61" s="175"/>
      <c r="B61" s="175"/>
      <c r="C61" s="194"/>
      <c r="D61" s="194"/>
      <c r="E61" s="194"/>
      <c r="F61" s="194"/>
      <c r="G61" s="194"/>
      <c r="H61" s="194"/>
    </row>
    <row r="62" spans="1:10" ht="18.75" x14ac:dyDescent="0.3">
      <c r="B62" s="393" t="s">
        <v>25</v>
      </c>
      <c r="C62" s="393"/>
      <c r="E62" s="203" t="s">
        <v>26</v>
      </c>
      <c r="F62" s="195"/>
      <c r="G62" s="393" t="s">
        <v>27</v>
      </c>
      <c r="H62" s="393"/>
    </row>
    <row r="63" spans="1:10" ht="83.25" customHeight="1" x14ac:dyDescent="0.3">
      <c r="A63" s="196" t="s">
        <v>28</v>
      </c>
      <c r="B63" s="197"/>
      <c r="C63" s="197" t="s">
        <v>148</v>
      </c>
      <c r="E63" s="198"/>
      <c r="F63" s="193"/>
      <c r="G63" s="199"/>
      <c r="H63" s="199"/>
    </row>
    <row r="64" spans="1:10" ht="84" customHeight="1" x14ac:dyDescent="0.3">
      <c r="A64" s="196" t="s">
        <v>29</v>
      </c>
      <c r="B64" s="200"/>
      <c r="C64" s="200"/>
      <c r="E64" s="201"/>
      <c r="F64" s="193"/>
      <c r="G64" s="202"/>
      <c r="H64" s="202"/>
    </row>
    <row r="65" spans="1:9" ht="18.75" x14ac:dyDescent="0.3">
      <c r="A65" s="191"/>
      <c r="B65" s="191"/>
      <c r="C65" s="184"/>
      <c r="D65" s="184"/>
      <c r="E65" s="184"/>
      <c r="F65" s="192"/>
      <c r="G65" s="184"/>
      <c r="H65" s="184"/>
      <c r="I65" s="173"/>
    </row>
    <row r="66" spans="1:9" ht="18.75" x14ac:dyDescent="0.3">
      <c r="A66" s="191"/>
      <c r="B66" s="191"/>
      <c r="C66" s="184"/>
      <c r="D66" s="184"/>
      <c r="E66" s="184"/>
      <c r="F66" s="192"/>
      <c r="G66" s="184"/>
      <c r="H66" s="184"/>
      <c r="I66" s="173"/>
    </row>
    <row r="67" spans="1:9" ht="18.75" x14ac:dyDescent="0.3">
      <c r="A67" s="191"/>
      <c r="B67" s="191"/>
      <c r="C67" s="184"/>
      <c r="D67" s="184"/>
      <c r="E67" s="184"/>
      <c r="F67" s="192"/>
      <c r="G67" s="184"/>
      <c r="H67" s="184"/>
      <c r="I67" s="173"/>
    </row>
    <row r="68" spans="1:9" ht="18.75" x14ac:dyDescent="0.3">
      <c r="A68" s="191"/>
      <c r="B68" s="191"/>
      <c r="C68" s="184"/>
      <c r="D68" s="184"/>
      <c r="E68" s="184"/>
      <c r="F68" s="192"/>
      <c r="G68" s="184"/>
      <c r="H68" s="184"/>
      <c r="I68" s="173"/>
    </row>
    <row r="69" spans="1:9" ht="18.75" x14ac:dyDescent="0.3">
      <c r="A69" s="191"/>
      <c r="B69" s="191"/>
      <c r="C69" s="184"/>
      <c r="D69" s="184"/>
      <c r="E69" s="184"/>
      <c r="F69" s="192"/>
      <c r="G69" s="184"/>
      <c r="H69" s="184"/>
      <c r="I69" s="173"/>
    </row>
    <row r="70" spans="1:9" ht="18.75" x14ac:dyDescent="0.3">
      <c r="A70" s="191"/>
      <c r="B70" s="191"/>
      <c r="C70" s="184"/>
      <c r="D70" s="184"/>
      <c r="E70" s="184"/>
      <c r="F70" s="192"/>
      <c r="G70" s="184"/>
      <c r="H70" s="184"/>
      <c r="I70" s="173"/>
    </row>
    <row r="71" spans="1:9" ht="18.75" x14ac:dyDescent="0.3">
      <c r="A71" s="191"/>
      <c r="B71" s="191"/>
      <c r="C71" s="184"/>
      <c r="D71" s="184"/>
      <c r="E71" s="184"/>
      <c r="F71" s="192"/>
      <c r="G71" s="184"/>
      <c r="H71" s="184"/>
      <c r="I71" s="173"/>
    </row>
    <row r="72" spans="1:9" ht="18.75" x14ac:dyDescent="0.3">
      <c r="A72" s="191"/>
      <c r="B72" s="191"/>
      <c r="C72" s="184"/>
      <c r="D72" s="184"/>
      <c r="E72" s="184"/>
      <c r="F72" s="192"/>
      <c r="G72" s="184"/>
      <c r="H72" s="184"/>
      <c r="I72" s="173"/>
    </row>
    <row r="73" spans="1:9" ht="18.75" x14ac:dyDescent="0.3">
      <c r="A73" s="191"/>
      <c r="B73" s="191"/>
      <c r="C73" s="184"/>
      <c r="D73" s="184"/>
      <c r="E73" s="184"/>
      <c r="F73" s="192"/>
      <c r="G73" s="184"/>
      <c r="H73" s="184"/>
      <c r="I73" s="173"/>
    </row>
    <row r="250" spans="1:1" x14ac:dyDescent="0.3">
      <c r="A250" s="6">
        <v>0</v>
      </c>
    </row>
  </sheetData>
  <sheetProtection password="F3F3" sheet="1" formatColumns="0" formatRows="0" insertColumns="0" insertHyperlinks="0" deleteColumns="0" deleteRows="0" autoFilter="0" pivotTables="0"/>
  <mergeCells count="8">
    <mergeCell ref="A8:I14"/>
    <mergeCell ref="A1:I7"/>
    <mergeCell ref="B62:C62"/>
    <mergeCell ref="G62:H62"/>
    <mergeCell ref="G50:H50"/>
    <mergeCell ref="A16:H16"/>
    <mergeCell ref="A17:H17"/>
    <mergeCell ref="B18:E18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Esomeprazole</vt:lpstr>
      <vt:lpstr>Titration</vt:lpstr>
      <vt:lpstr>Esomeprazole!Print_Area</vt:lpstr>
      <vt:lpstr>SST!Print_Area</vt:lpstr>
      <vt:lpstr>Titration!Print_Area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Moenga</cp:lastModifiedBy>
  <cp:lastPrinted>2016-03-10T13:31:47Z</cp:lastPrinted>
  <dcterms:created xsi:type="dcterms:W3CDTF">2005-07-05T10:19:27Z</dcterms:created>
  <dcterms:modified xsi:type="dcterms:W3CDTF">2016-03-30T12:32:00Z</dcterms:modified>
  <cp:category/>
</cp:coreProperties>
</file>