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2" r:id="rId2"/>
    <sheet name="Quinine sulphate" sheetId="3" r:id="rId3"/>
  </sheets>
  <definedNames>
    <definedName name="_xlnm.Print_Area" localSheetId="0">SST!$A$1:$F$63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08" i="3" l="1"/>
  <c r="E108" i="3"/>
  <c r="F115" i="3"/>
  <c r="D99" i="3"/>
  <c r="F97" i="3"/>
  <c r="G91" i="3"/>
  <c r="E91" i="3"/>
  <c r="D103" i="3"/>
  <c r="D101" i="3"/>
  <c r="D100" i="3"/>
  <c r="B98" i="3"/>
  <c r="B30" i="1"/>
  <c r="C30" i="1"/>
  <c r="B21" i="1"/>
  <c r="D51" i="3"/>
  <c r="D50" i="3"/>
  <c r="G42" i="3"/>
  <c r="G40" i="3"/>
  <c r="G39" i="3"/>
  <c r="G38" i="3"/>
  <c r="E40" i="3"/>
  <c r="E39" i="3"/>
  <c r="E38" i="3"/>
  <c r="F46" i="3"/>
  <c r="F45" i="3"/>
  <c r="F44" i="3"/>
  <c r="D45" i="3"/>
  <c r="H72" i="3"/>
  <c r="H63" i="3"/>
  <c r="H62" i="3"/>
  <c r="H61" i="3"/>
  <c r="H60" i="3"/>
  <c r="G70" i="3"/>
  <c r="G69" i="3"/>
  <c r="G68" i="3"/>
  <c r="G66" i="3"/>
  <c r="G65" i="3"/>
  <c r="G64" i="3"/>
  <c r="G62" i="3"/>
  <c r="G61" i="3"/>
  <c r="G60" i="3"/>
  <c r="B68" i="3"/>
  <c r="B57" i="3"/>
  <c r="D50" i="2"/>
  <c r="D49" i="2"/>
  <c r="C46" i="2"/>
  <c r="C49" i="2" s="1"/>
  <c r="B49" i="2"/>
  <c r="C45" i="2"/>
  <c r="E42" i="3" l="1"/>
  <c r="G120" i="3"/>
  <c r="G94" i="3" l="1"/>
  <c r="C120" i="3"/>
  <c r="B116" i="3"/>
  <c r="F95" i="3"/>
  <c r="D95" i="3"/>
  <c r="B87" i="3"/>
  <c r="B81" i="3"/>
  <c r="B83" i="3" s="1"/>
  <c r="B80" i="3"/>
  <c r="B79" i="3"/>
  <c r="C76" i="3"/>
  <c r="C56" i="3"/>
  <c r="B55" i="3"/>
  <c r="B45" i="3"/>
  <c r="D48" i="3" s="1"/>
  <c r="F42" i="3"/>
  <c r="D42" i="3"/>
  <c r="B34" i="3"/>
  <c r="B30" i="3"/>
  <c r="D42" i="2"/>
  <c r="D41" i="2"/>
  <c r="D38" i="2"/>
  <c r="D37" i="2"/>
  <c r="D34" i="2"/>
  <c r="D33" i="2"/>
  <c r="D30" i="2"/>
  <c r="D29" i="2"/>
  <c r="D26" i="2"/>
  <c r="D25" i="2"/>
  <c r="B32" i="1"/>
  <c r="E30" i="1"/>
  <c r="D30" i="1"/>
  <c r="B31" i="1"/>
  <c r="B69" i="3" l="1"/>
  <c r="D49" i="3"/>
  <c r="I39" i="3"/>
  <c r="I92" i="3"/>
  <c r="D97" i="3"/>
  <c r="D98" i="3" s="1"/>
  <c r="F98" i="3"/>
  <c r="F99" i="3" s="1"/>
  <c r="D44" i="3"/>
  <c r="C50" i="2"/>
  <c r="D35" i="2"/>
  <c r="D102" i="3"/>
  <c r="D27" i="2"/>
  <c r="D31" i="2"/>
  <c r="D39" i="2"/>
  <c r="D43" i="2"/>
  <c r="D24" i="2"/>
  <c r="D28" i="2"/>
  <c r="D32" i="2"/>
  <c r="D36" i="2"/>
  <c r="D40" i="2"/>
  <c r="G92" i="3" l="1"/>
  <c r="G93" i="3"/>
  <c r="G95" i="3"/>
  <c r="E92" i="3"/>
  <c r="E94" i="3"/>
  <c r="D46" i="3"/>
  <c r="E41" i="3"/>
  <c r="G41" i="3"/>
  <c r="E93" i="3"/>
  <c r="D52" i="3" l="1"/>
  <c r="E95" i="3"/>
  <c r="D105" i="3"/>
  <c r="E110" i="3"/>
  <c r="F110" i="3" s="1"/>
  <c r="H70" i="3"/>
  <c r="H68" i="3" l="1"/>
  <c r="H64" i="3"/>
  <c r="H65" i="3"/>
  <c r="G63" i="3"/>
  <c r="H69" i="3"/>
  <c r="G71" i="3"/>
  <c r="H71" i="3" s="1"/>
  <c r="G67" i="3"/>
  <c r="H67" i="3" s="1"/>
  <c r="E113" i="3"/>
  <c r="F113" i="3" s="1"/>
  <c r="E112" i="3"/>
  <c r="F112" i="3" s="1"/>
  <c r="E111" i="3"/>
  <c r="F111" i="3" s="1"/>
  <c r="D104" i="3"/>
  <c r="E109" i="3"/>
  <c r="F109" i="3" s="1"/>
  <c r="H66" i="3"/>
  <c r="G76" i="3" l="1"/>
  <c r="H74" i="3"/>
  <c r="F116" i="3"/>
  <c r="F117" i="3"/>
  <c r="H73" i="3" l="1"/>
</calcChain>
</file>

<file path=xl/sharedStrings.xml><?xml version="1.0" encoding="utf-8"?>
<sst xmlns="http://schemas.openxmlformats.org/spreadsheetml/2006/main" count="224" uniqueCount="132">
  <si>
    <t>HPLC System Suitability Report</t>
  </si>
  <si>
    <t>Analysis Data</t>
  </si>
  <si>
    <t>Assay</t>
  </si>
  <si>
    <t>Sample(s)</t>
  </si>
  <si>
    <t>Reference Substance:</t>
  </si>
  <si>
    <t>QUININE SULPHATE TABLETS</t>
  </si>
  <si>
    <t>% age Purity:</t>
  </si>
  <si>
    <t>NDQD201510427</t>
  </si>
  <si>
    <t>Weight (mg):</t>
  </si>
  <si>
    <t>QUININE SULPHATE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</si>
  <si>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</si>
  <si>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</si>
  <si>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</si>
  <si>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</si>
  <si>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</si>
  <si>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</si>
  <si>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</si>
  <si>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</si>
  <si>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</si>
  <si>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</si>
  <si>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</si>
  <si>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</si>
  <si>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</si>
  <si>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</si>
  <si>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</si>
  <si>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</si>
  <si>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</si>
  <si>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</si>
  <si>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</si>
  <si>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</si>
  <si>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</si>
  <si>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</si>
  <si>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</si>
  <si>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</si>
  <si>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</si>
  <si>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</si>
  <si>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</si>
  <si>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</si>
  <si>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</si>
  <si>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</si>
  <si>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</si>
  <si>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</si>
  <si>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</si>
  <si>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</si>
  <si>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</si>
  <si>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</si>
  <si>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</si>
  <si>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</si>
  <si>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</si>
  <si>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</si>
  <si>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</si>
  <si>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</si>
  <si>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</si>
  <si>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</si>
  <si>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</si>
  <si>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</si>
  <si>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</si>
  <si>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</si>
  <si>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</si>
  <si>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</si>
  <si>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</si>
  <si>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</si>
  <si>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</si>
  <si>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</si>
  <si>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</si>
  <si>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</si>
  <si>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</si>
  <si>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</si>
  <si>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</si>
  <si>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</si>
  <si>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</si>
  <si>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</si>
  <si>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</si>
  <si>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</si>
  <si>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</si>
  <si>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</si>
  <si>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</si>
  <si>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</si>
  <si>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</si>
  <si>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</si>
  <si>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</si>
  <si>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</si>
  <si>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</si>
  <si>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</si>
  <si>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</si>
  <si>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</si>
  <si>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</si>
  <si>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</si>
  <si>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</si>
  <si>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</si>
  <si>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</si>
  <si>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</si>
  <si>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</si>
  <si>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</si>
  <si>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</si>
  <si>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</si>
  <si>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</si>
  <si>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</si>
  <si>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</si>
  <si>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</si>
  <si>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</si>
  <si>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</si>
  <si>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</si>
  <si>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</si>
  <si>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</si>
  <si>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</si>
  <si>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</si>
  <si>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</si>
  <si>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</si>
  <si>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</si>
  <si>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</si>
  <si>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</si>
  <si>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</si>
  <si>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</si>
  <si>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</si>
  <si>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</si>
  <si>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</si>
  <si>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</si>
  <si>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</si>
  <si>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PRS/Q1-1</t>
  </si>
  <si>
    <t xml:space="preserve">QUININE SULPHATE </t>
  </si>
  <si>
    <t>13th 0ct 2015</t>
  </si>
  <si>
    <t>9th oct 2015</t>
  </si>
  <si>
    <t>MUTUA</t>
  </si>
  <si>
    <t>13.10.2015</t>
  </si>
  <si>
    <t>9th Oct 2015</t>
  </si>
  <si>
    <t>13th Oct 2015</t>
  </si>
  <si>
    <t xml:space="preserve"> </t>
  </si>
  <si>
    <t>Each coated tablet contains quinine sulphate B.P 300 mg</t>
  </si>
  <si>
    <t>Average Tablet Weight (mg):</t>
  </si>
  <si>
    <t>16.10.2015</t>
  </si>
  <si>
    <t>Average Normalised UV Abs: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</si>
</sst>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48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71" fontId="12" fillId="6" borderId="49" xfId="0" applyNumberFormat="1" applyFont="1" applyFill="1" applyBorder="1" applyAlignment="1">
      <alignment horizontal="center"/>
    </xf>
    <xf numFmtId="171" fontId="12" fillId="6" borderId="50" xfId="0" applyNumberFormat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2" fontId="14" fillId="2" borderId="24" xfId="0" applyNumberFormat="1" applyFont="1" applyFill="1" applyBorder="1" applyAlignment="1">
      <alignment horizontal="center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4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1" fillId="2" borderId="7" xfId="0" applyFont="1" applyFill="1" applyBorder="1"/>
    <xf numFmtId="0" fontId="2" fillId="2" borderId="6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0" fillId="2" borderId="0" xfId="0" applyFont="1" applyFill="1" applyAlignment="1">
      <alignment vertical="center"/>
    </xf>
    <xf numFmtId="10" fontId="2" fillId="2" borderId="0" xfId="0" applyNumberFormat="1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66" fontId="12" fillId="7" borderId="1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4" fillId="2" borderId="0" xfId="0" applyFont="1" applyFill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view="pageBreakPreview" topLeftCell="A31" zoomScale="60" zoomScaleNormal="100" workbookViewId="0">
      <selection activeCell="D62" sqref="D6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" spans="1:9" ht="13.2" customHeight="1" x14ac:dyDescent="0.25">
      <c r="A1" s="287" t="s">
        <v>42</v>
      </c>
      <c r="B1" s="287"/>
      <c r="C1" s="287"/>
      <c r="D1" s="287"/>
      <c r="E1" s="287"/>
      <c r="F1" s="287"/>
      <c r="G1" s="280"/>
      <c r="H1" s="280"/>
      <c r="I1" s="280"/>
    </row>
    <row r="2" spans="1:9" ht="13.2" customHeight="1" x14ac:dyDescent="0.25">
      <c r="A2" s="287"/>
      <c r="B2" s="287"/>
      <c r="C2" s="287"/>
      <c r="D2" s="287"/>
      <c r="E2" s="287"/>
      <c r="F2" s="287"/>
      <c r="G2" s="280"/>
      <c r="H2" s="280"/>
      <c r="I2" s="280"/>
    </row>
    <row r="3" spans="1:9" ht="13.2" customHeight="1" x14ac:dyDescent="0.25">
      <c r="A3" s="287"/>
      <c r="B3" s="287"/>
      <c r="C3" s="287"/>
      <c r="D3" s="287"/>
      <c r="E3" s="287"/>
      <c r="F3" s="287"/>
      <c r="G3" s="280"/>
      <c r="H3" s="280"/>
      <c r="I3" s="280"/>
    </row>
    <row r="4" spans="1:9" ht="13.2" customHeight="1" x14ac:dyDescent="0.25">
      <c r="A4" s="287"/>
      <c r="B4" s="287"/>
      <c r="C4" s="287"/>
      <c r="D4" s="287"/>
      <c r="E4" s="287"/>
      <c r="F4" s="287"/>
      <c r="G4" s="280"/>
      <c r="H4" s="280"/>
      <c r="I4" s="280"/>
    </row>
    <row r="5" spans="1:9" ht="13.2" customHeight="1" x14ac:dyDescent="0.25">
      <c r="A5" s="287"/>
      <c r="B5" s="287"/>
      <c r="C5" s="287"/>
      <c r="D5" s="287"/>
      <c r="E5" s="287"/>
      <c r="F5" s="287"/>
      <c r="G5" s="280"/>
      <c r="H5" s="280"/>
      <c r="I5" s="280"/>
    </row>
    <row r="6" spans="1:9" ht="13.2" customHeight="1" x14ac:dyDescent="0.25">
      <c r="A6" s="287"/>
      <c r="B6" s="287"/>
      <c r="C6" s="287"/>
      <c r="D6" s="287"/>
      <c r="E6" s="287"/>
      <c r="F6" s="287"/>
      <c r="G6" s="280"/>
      <c r="H6" s="280"/>
      <c r="I6" s="280"/>
    </row>
    <row r="7" spans="1:9" ht="13.2" customHeight="1" x14ac:dyDescent="0.25">
      <c r="A7" s="287"/>
      <c r="B7" s="287"/>
      <c r="C7" s="287"/>
      <c r="D7" s="287"/>
      <c r="E7" s="287"/>
      <c r="F7" s="287"/>
      <c r="G7" s="280"/>
      <c r="H7" s="280"/>
      <c r="I7" s="280"/>
    </row>
    <row r="14" spans="1:9" ht="15" customHeight="1" x14ac:dyDescent="0.3">
      <c r="A14" s="1"/>
      <c r="B14" s="2"/>
      <c r="C14" s="3"/>
      <c r="D14" s="2"/>
      <c r="F14" s="3"/>
    </row>
    <row r="15" spans="1:9" ht="18.75" customHeight="1" x14ac:dyDescent="0.35">
      <c r="A15" s="285" t="s">
        <v>0</v>
      </c>
      <c r="B15" s="285"/>
      <c r="C15" s="285"/>
      <c r="D15" s="285"/>
      <c r="E15" s="285"/>
    </row>
    <row r="16" spans="1:9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9" t="s">
        <v>7</v>
      </c>
      <c r="D17" s="9"/>
      <c r="E17" s="10"/>
    </row>
    <row r="18" spans="1:6" ht="16.5" customHeight="1" x14ac:dyDescent="0.3">
      <c r="A18" s="11" t="s">
        <v>4</v>
      </c>
      <c r="B18" s="8" t="s">
        <v>120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93.6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0.21299999999999999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96252929</v>
      </c>
      <c r="C24" s="18">
        <v>5368.3</v>
      </c>
      <c r="D24" s="273">
        <v>1.6</v>
      </c>
      <c r="E24" s="274">
        <v>9.6999999999999993</v>
      </c>
    </row>
    <row r="25" spans="1:6" ht="16.5" customHeight="1" x14ac:dyDescent="0.3">
      <c r="A25" s="17">
        <v>2</v>
      </c>
      <c r="B25" s="18">
        <v>96319695</v>
      </c>
      <c r="C25" s="18">
        <v>5401.1</v>
      </c>
      <c r="D25" s="273">
        <v>1.6</v>
      </c>
      <c r="E25" s="273">
        <v>9.6999999999999993</v>
      </c>
    </row>
    <row r="26" spans="1:6" ht="16.5" customHeight="1" x14ac:dyDescent="0.3">
      <c r="A26" s="17">
        <v>3</v>
      </c>
      <c r="B26" s="18">
        <v>96437055</v>
      </c>
      <c r="C26" s="18">
        <v>5416.7</v>
      </c>
      <c r="D26" s="273">
        <v>1.6</v>
      </c>
      <c r="E26" s="273">
        <v>9.6999999999999993</v>
      </c>
    </row>
    <row r="27" spans="1:6" ht="16.5" customHeight="1" x14ac:dyDescent="0.3">
      <c r="A27" s="17">
        <v>4</v>
      </c>
      <c r="B27" s="18">
        <v>96775090</v>
      </c>
      <c r="C27" s="18">
        <v>5434.3</v>
      </c>
      <c r="D27" s="273">
        <v>1.6</v>
      </c>
      <c r="E27" s="273">
        <v>9.6</v>
      </c>
    </row>
    <row r="28" spans="1:6" ht="16.5" customHeight="1" x14ac:dyDescent="0.3">
      <c r="A28" s="17">
        <v>5</v>
      </c>
      <c r="B28" s="18">
        <v>96935269</v>
      </c>
      <c r="C28" s="18">
        <v>5447.8</v>
      </c>
      <c r="D28" s="273">
        <v>1.6</v>
      </c>
      <c r="E28" s="273">
        <v>9.6</v>
      </c>
    </row>
    <row r="29" spans="1:6" ht="16.5" customHeight="1" x14ac:dyDescent="0.3">
      <c r="A29" s="17">
        <v>6</v>
      </c>
      <c r="B29" s="21">
        <v>96393970</v>
      </c>
      <c r="C29" s="21">
        <v>5469.2</v>
      </c>
      <c r="D29" s="275">
        <v>1.6</v>
      </c>
      <c r="E29" s="275">
        <v>9.6</v>
      </c>
    </row>
    <row r="30" spans="1:6" ht="16.5" customHeight="1" x14ac:dyDescent="0.3">
      <c r="A30" s="23" t="s">
        <v>16</v>
      </c>
      <c r="B30" s="24">
        <f>AVERAGE(B24:B29)</f>
        <v>96519001.333333328</v>
      </c>
      <c r="C30" s="25">
        <f>AVERAGE(C24:C29)</f>
        <v>5422.9000000000005</v>
      </c>
      <c r="D30" s="26">
        <f>AVERAGE(D24:D29)</f>
        <v>1.5999999999999999</v>
      </c>
      <c r="E30" s="26">
        <f>AVERAGE(E24:E29)</f>
        <v>9.65</v>
      </c>
    </row>
    <row r="31" spans="1:6" ht="16.5" customHeight="1" x14ac:dyDescent="0.3">
      <c r="A31" s="27" t="s">
        <v>17</v>
      </c>
      <c r="B31" s="28">
        <f>(STDEV(B24:B29)/B30)</f>
        <v>2.8249676533330719E-3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/>
      <c r="B38" s="6"/>
    </row>
    <row r="39" spans="1:6" ht="16.5" customHeight="1" x14ac:dyDescent="0.3">
      <c r="A39" s="11"/>
      <c r="B39" s="8"/>
      <c r="C39" s="10"/>
      <c r="D39" s="10"/>
      <c r="E39" s="10"/>
    </row>
    <row r="40" spans="1:6" ht="16.5" customHeight="1" x14ac:dyDescent="0.3">
      <c r="A40" s="11"/>
      <c r="B40" s="12"/>
      <c r="C40" s="10"/>
      <c r="D40" s="10"/>
      <c r="E40" s="10"/>
    </row>
    <row r="41" spans="1:6" ht="16.5" customHeight="1" x14ac:dyDescent="0.3">
      <c r="A41" s="7"/>
      <c r="B41" s="12"/>
      <c r="C41" s="10"/>
      <c r="D41" s="10"/>
      <c r="E41" s="10"/>
    </row>
    <row r="42" spans="1:6" ht="16.5" customHeight="1" x14ac:dyDescent="0.3">
      <c r="A42" s="7"/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/>
      <c r="B44" s="15"/>
      <c r="C44" s="14"/>
      <c r="D44" s="14"/>
      <c r="E44" s="16"/>
    </row>
    <row r="45" spans="1:6" ht="16.5" customHeight="1" x14ac:dyDescent="0.3">
      <c r="A45" s="17"/>
      <c r="B45" s="18"/>
      <c r="C45" s="18"/>
      <c r="D45" s="19"/>
      <c r="E45" s="20"/>
    </row>
    <row r="46" spans="1:6" ht="16.5" customHeight="1" x14ac:dyDescent="0.3">
      <c r="A46" s="17"/>
      <c r="B46" s="18"/>
      <c r="C46" s="18"/>
      <c r="D46" s="19"/>
      <c r="E46" s="19"/>
    </row>
    <row r="47" spans="1:6" ht="16.5" customHeight="1" x14ac:dyDescent="0.3">
      <c r="A47" s="17"/>
      <c r="B47" s="18"/>
      <c r="C47" s="18"/>
      <c r="D47" s="19"/>
      <c r="E47" s="19"/>
    </row>
    <row r="48" spans="1:6" ht="16.5" customHeight="1" x14ac:dyDescent="0.3">
      <c r="A48" s="17"/>
      <c r="B48" s="18"/>
      <c r="C48" s="18"/>
      <c r="D48" s="19"/>
      <c r="E48" s="19"/>
    </row>
    <row r="49" spans="1:9" ht="16.5" customHeight="1" x14ac:dyDescent="0.3">
      <c r="A49" s="17"/>
      <c r="B49" s="18"/>
      <c r="C49" s="18"/>
      <c r="D49" s="19"/>
      <c r="E49" s="19"/>
    </row>
    <row r="50" spans="1:9" ht="16.5" customHeight="1" x14ac:dyDescent="0.3">
      <c r="A50" s="17"/>
      <c r="B50" s="21"/>
      <c r="C50" s="21"/>
      <c r="D50" s="22"/>
      <c r="E50" s="22"/>
    </row>
    <row r="51" spans="1:9" ht="16.5" customHeight="1" x14ac:dyDescent="0.3">
      <c r="A51" s="23"/>
      <c r="B51" s="24"/>
      <c r="C51" s="25"/>
      <c r="D51" s="26"/>
      <c r="E51" s="26"/>
    </row>
    <row r="52" spans="1:9" ht="16.5" customHeight="1" x14ac:dyDescent="0.3">
      <c r="A52" s="27"/>
      <c r="B52" s="28"/>
      <c r="C52" s="29"/>
      <c r="D52" s="29"/>
      <c r="E52" s="30"/>
      <c r="F52" s="2"/>
    </row>
    <row r="53" spans="1:9" s="2" customFormat="1" ht="16.5" customHeight="1" x14ac:dyDescent="0.3">
      <c r="A53" s="31"/>
      <c r="B53" s="32"/>
      <c r="C53" s="33"/>
      <c r="D53" s="34"/>
      <c r="E53" s="35"/>
    </row>
    <row r="54" spans="1:9" s="2" customFormat="1" ht="15.75" customHeight="1" x14ac:dyDescent="0.3">
      <c r="A54" s="10"/>
      <c r="B54" s="10"/>
      <c r="C54" s="10"/>
      <c r="D54" s="10"/>
      <c r="E54" s="36"/>
    </row>
    <row r="55" spans="1:9" s="2" customFormat="1" ht="16.5" customHeight="1" x14ac:dyDescent="0.3">
      <c r="A55" s="11"/>
      <c r="B55" s="37"/>
      <c r="C55" s="38"/>
      <c r="D55" s="38"/>
      <c r="E55" s="39"/>
    </row>
    <row r="56" spans="1:9" ht="16.5" customHeight="1" x14ac:dyDescent="0.3">
      <c r="A56" s="11"/>
      <c r="B56" s="37"/>
      <c r="C56" s="38"/>
      <c r="D56" s="38"/>
      <c r="E56" s="39"/>
      <c r="F56" s="2"/>
    </row>
    <row r="57" spans="1:9" ht="16.5" customHeight="1" x14ac:dyDescent="0.3">
      <c r="A57" s="11"/>
      <c r="B57" s="40"/>
      <c r="C57" s="38"/>
      <c r="D57" s="39"/>
      <c r="E57" s="38"/>
    </row>
    <row r="58" spans="1:9" ht="14.25" customHeight="1" thickBot="1" x14ac:dyDescent="0.35">
      <c r="A58" s="41"/>
      <c r="B58" s="41"/>
      <c r="C58" s="41"/>
      <c r="D58" s="41"/>
      <c r="E58" s="41"/>
      <c r="F58" s="41"/>
      <c r="G58" s="42"/>
    </row>
    <row r="59" spans="1:9" s="42" customFormat="1" ht="14.25" customHeight="1" x14ac:dyDescent="0.3">
      <c r="A59" s="278"/>
      <c r="B59" s="279"/>
      <c r="C59" s="278"/>
      <c r="D59" s="281"/>
      <c r="E59" s="278"/>
      <c r="F59" s="282"/>
      <c r="H59" s="213"/>
      <c r="I59" s="213"/>
    </row>
    <row r="60" spans="1:9" ht="15" customHeight="1" x14ac:dyDescent="0.3">
      <c r="B60" s="286" t="s">
        <v>23</v>
      </c>
      <c r="C60" s="286"/>
      <c r="D60" s="283" t="s">
        <v>24</v>
      </c>
      <c r="E60" s="279"/>
      <c r="F60" s="283" t="s">
        <v>25</v>
      </c>
    </row>
    <row r="61" spans="1:9" ht="15" customHeight="1" x14ac:dyDescent="0.3">
      <c r="A61" s="43" t="s">
        <v>26</v>
      </c>
      <c r="B61" s="277" t="s">
        <v>123</v>
      </c>
      <c r="C61" s="277"/>
      <c r="D61" s="279" t="s">
        <v>130</v>
      </c>
      <c r="E61" s="2"/>
      <c r="F61" s="277"/>
    </row>
    <row r="62" spans="1:9" s="42" customFormat="1" ht="15" customHeight="1" x14ac:dyDescent="0.3">
      <c r="A62" s="43"/>
      <c r="B62" s="278"/>
      <c r="C62" s="278"/>
      <c r="D62" s="279"/>
      <c r="E62" s="213"/>
      <c r="F62" s="278"/>
      <c r="H62" s="213"/>
      <c r="I62" s="213"/>
    </row>
    <row r="63" spans="1:9" ht="15" customHeight="1" x14ac:dyDescent="0.3">
      <c r="A63" s="43" t="s">
        <v>27</v>
      </c>
      <c r="B63" s="276"/>
      <c r="C63" s="276"/>
      <c r="D63" s="276"/>
      <c r="E63" s="2"/>
      <c r="F63" s="44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60:C60"/>
    <mergeCell ref="A1:F7"/>
  </mergeCells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8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1" t="s">
        <v>28</v>
      </c>
      <c r="B11" s="292"/>
      <c r="C11" s="292"/>
      <c r="D11" s="292"/>
      <c r="E11" s="292"/>
      <c r="F11" s="293"/>
      <c r="G11" s="84"/>
    </row>
    <row r="12" spans="1:7" ht="16.5" customHeight="1" x14ac:dyDescent="0.3">
      <c r="A12" s="290" t="s">
        <v>29</v>
      </c>
      <c r="B12" s="290"/>
      <c r="C12" s="290"/>
      <c r="D12" s="290"/>
      <c r="E12" s="290"/>
      <c r="F12" s="290"/>
      <c r="G12" s="83"/>
    </row>
    <row r="14" spans="1:7" ht="16.5" customHeight="1" x14ac:dyDescent="0.3">
      <c r="A14" s="295" t="s">
        <v>30</v>
      </c>
      <c r="B14" s="295"/>
      <c r="C14" s="53" t="s">
        <v>5</v>
      </c>
    </row>
    <row r="15" spans="1:7" ht="16.5" customHeight="1" x14ac:dyDescent="0.3">
      <c r="A15" s="295" t="s">
        <v>31</v>
      </c>
      <c r="B15" s="295"/>
      <c r="C15" s="53" t="s">
        <v>7</v>
      </c>
    </row>
    <row r="16" spans="1:7" ht="16.5" customHeight="1" x14ac:dyDescent="0.3">
      <c r="A16" s="295" t="s">
        <v>32</v>
      </c>
      <c r="B16" s="295"/>
      <c r="C16" s="53" t="s">
        <v>9</v>
      </c>
    </row>
    <row r="17" spans="1:5" ht="16.5" customHeight="1" x14ac:dyDescent="0.3">
      <c r="A17" s="295" t="s">
        <v>33</v>
      </c>
      <c r="B17" s="295"/>
      <c r="C17" s="53" t="s">
        <v>128</v>
      </c>
    </row>
    <row r="18" spans="1:5" ht="16.5" customHeight="1" x14ac:dyDescent="0.3">
      <c r="A18" s="295" t="s">
        <v>34</v>
      </c>
      <c r="B18" s="295"/>
      <c r="C18" s="88" t="s">
        <v>122</v>
      </c>
    </row>
    <row r="19" spans="1:5" ht="16.5" customHeight="1" x14ac:dyDescent="0.3">
      <c r="A19" s="295" t="s">
        <v>35</v>
      </c>
      <c r="B19" s="295"/>
      <c r="C19" s="88" t="s">
        <v>121</v>
      </c>
    </row>
    <row r="20" spans="1:5" ht="16.5" customHeight="1" x14ac:dyDescent="0.3">
      <c r="A20" s="55"/>
      <c r="B20" s="55"/>
      <c r="C20" s="70"/>
    </row>
    <row r="21" spans="1:5" ht="16.5" customHeight="1" x14ac:dyDescent="0.3">
      <c r="A21" s="290" t="s">
        <v>1</v>
      </c>
      <c r="B21" s="290"/>
      <c r="C21" s="52" t="s">
        <v>36</v>
      </c>
      <c r="D21" s="59"/>
    </row>
    <row r="22" spans="1:5" ht="15.75" customHeight="1" x14ac:dyDescent="0.3">
      <c r="A22" s="294"/>
      <c r="B22" s="294"/>
      <c r="C22" s="50"/>
      <c r="D22" s="294"/>
      <c r="E22" s="294"/>
    </row>
    <row r="23" spans="1:5" ht="33.75" customHeight="1" x14ac:dyDescent="0.3">
      <c r="C23" s="79" t="s">
        <v>37</v>
      </c>
      <c r="D23" s="78" t="s">
        <v>38</v>
      </c>
      <c r="E23" s="45"/>
    </row>
    <row r="24" spans="1:5" ht="15.75" customHeight="1" x14ac:dyDescent="0.3">
      <c r="C24" s="270">
        <v>395.92</v>
      </c>
      <c r="D24" s="80">
        <f t="shared" ref="D24:D43" si="0">(C24-$C$46)/$C$46</f>
        <v>2.5194657213393622E-3</v>
      </c>
      <c r="E24" s="46"/>
    </row>
    <row r="25" spans="1:5" ht="15.75" customHeight="1" x14ac:dyDescent="0.3">
      <c r="C25" s="270">
        <v>395.61</v>
      </c>
      <c r="D25" s="81">
        <f t="shared" si="0"/>
        <v>1.7345065518768001E-3</v>
      </c>
      <c r="E25" s="46"/>
    </row>
    <row r="26" spans="1:5" ht="15.75" customHeight="1" x14ac:dyDescent="0.3">
      <c r="C26" s="270">
        <v>393.68</v>
      </c>
      <c r="D26" s="81">
        <f t="shared" si="0"/>
        <v>-3.1524973096159047E-3</v>
      </c>
      <c r="E26" s="46"/>
    </row>
    <row r="27" spans="1:5" ht="15.75" customHeight="1" x14ac:dyDescent="0.3">
      <c r="C27" s="270">
        <v>394.63</v>
      </c>
      <c r="D27" s="81">
        <f t="shared" si="0"/>
        <v>-7.4697727416616494E-4</v>
      </c>
      <c r="E27" s="46"/>
    </row>
    <row r="28" spans="1:5" ht="15.75" customHeight="1" x14ac:dyDescent="0.3">
      <c r="C28" s="270">
        <v>395.13</v>
      </c>
      <c r="D28" s="81">
        <f t="shared" si="0"/>
        <v>5.1908590238634476E-4</v>
      </c>
      <c r="E28" s="46"/>
    </row>
    <row r="29" spans="1:5" ht="15.75" customHeight="1" x14ac:dyDescent="0.3">
      <c r="C29" s="270">
        <v>395.01</v>
      </c>
      <c r="D29" s="81">
        <f t="shared" si="0"/>
        <v>2.1523074001373091E-4</v>
      </c>
      <c r="E29" s="46"/>
    </row>
    <row r="30" spans="1:5" ht="15.75" customHeight="1" x14ac:dyDescent="0.3">
      <c r="C30" s="270">
        <v>393.11</v>
      </c>
      <c r="D30" s="81">
        <f t="shared" si="0"/>
        <v>-4.5958093308857487E-3</v>
      </c>
      <c r="E30" s="46"/>
    </row>
    <row r="31" spans="1:5" ht="15.75" customHeight="1" x14ac:dyDescent="0.3">
      <c r="C31" s="270">
        <v>397.28</v>
      </c>
      <c r="D31" s="81">
        <f t="shared" si="0"/>
        <v>5.9631575615620791E-3</v>
      </c>
      <c r="E31" s="46"/>
    </row>
    <row r="32" spans="1:5" ht="15.75" customHeight="1" x14ac:dyDescent="0.3">
      <c r="C32" s="270">
        <v>393.8</v>
      </c>
      <c r="D32" s="81">
        <f t="shared" si="0"/>
        <v>-2.8486421472432907E-3</v>
      </c>
      <c r="E32" s="46"/>
    </row>
    <row r="33" spans="1:7" ht="15.75" customHeight="1" x14ac:dyDescent="0.3">
      <c r="C33" s="270">
        <v>393.19</v>
      </c>
      <c r="D33" s="81">
        <f t="shared" si="0"/>
        <v>-4.393239222637387E-3</v>
      </c>
      <c r="E33" s="46"/>
    </row>
    <row r="34" spans="1:7" ht="15.75" customHeight="1" x14ac:dyDescent="0.3">
      <c r="C34" s="270">
        <v>397.32</v>
      </c>
      <c r="D34" s="81">
        <f t="shared" si="0"/>
        <v>6.0644426156863315E-3</v>
      </c>
      <c r="E34" s="46"/>
    </row>
    <row r="35" spans="1:7" ht="15.75" customHeight="1" x14ac:dyDescent="0.3">
      <c r="C35" s="270">
        <v>392.13</v>
      </c>
      <c r="D35" s="81">
        <f t="shared" si="0"/>
        <v>-7.0772931569287141E-3</v>
      </c>
      <c r="E35" s="46"/>
    </row>
    <row r="36" spans="1:7" ht="15.75" customHeight="1" x14ac:dyDescent="0.3">
      <c r="C36" s="270">
        <v>394</v>
      </c>
      <c r="D36" s="81">
        <f t="shared" si="0"/>
        <v>-2.3422168766223158E-3</v>
      </c>
      <c r="E36" s="46"/>
    </row>
    <row r="37" spans="1:7" ht="15.75" customHeight="1" x14ac:dyDescent="0.3">
      <c r="C37" s="270">
        <v>396.71</v>
      </c>
      <c r="D37" s="81">
        <f t="shared" si="0"/>
        <v>4.5198455402922352E-3</v>
      </c>
      <c r="E37" s="46"/>
    </row>
    <row r="38" spans="1:7" ht="15.75" customHeight="1" x14ac:dyDescent="0.3">
      <c r="C38" s="270">
        <v>395.2</v>
      </c>
      <c r="D38" s="81">
        <f t="shared" si="0"/>
        <v>6.9633474710367889E-4</v>
      </c>
      <c r="E38" s="46"/>
    </row>
    <row r="39" spans="1:7" ht="15.75" customHeight="1" x14ac:dyDescent="0.3">
      <c r="C39" s="270">
        <v>396.47</v>
      </c>
      <c r="D39" s="81">
        <f t="shared" si="0"/>
        <v>3.9121352155471519E-3</v>
      </c>
      <c r="E39" s="46"/>
    </row>
    <row r="40" spans="1:7" ht="15.75" customHeight="1" x14ac:dyDescent="0.3">
      <c r="C40" s="270">
        <v>396.9</v>
      </c>
      <c r="D40" s="81">
        <f t="shared" si="0"/>
        <v>5.0009495473821832E-3</v>
      </c>
      <c r="E40" s="46"/>
    </row>
    <row r="41" spans="1:7" ht="15.75" customHeight="1" x14ac:dyDescent="0.3">
      <c r="C41" s="270">
        <v>395.65</v>
      </c>
      <c r="D41" s="81">
        <f t="shared" si="0"/>
        <v>1.8357916060009088E-3</v>
      </c>
      <c r="E41" s="46"/>
    </row>
    <row r="42" spans="1:7" ht="15.75" customHeight="1" x14ac:dyDescent="0.3">
      <c r="C42" s="270">
        <v>395.58</v>
      </c>
      <c r="D42" s="81">
        <f t="shared" si="0"/>
        <v>1.6585427612835749E-3</v>
      </c>
      <c r="E42" s="46"/>
    </row>
    <row r="43" spans="1:7" ht="16.5" customHeight="1" x14ac:dyDescent="0.3">
      <c r="C43" s="271">
        <v>391.18</v>
      </c>
      <c r="D43" s="82">
        <f t="shared" si="0"/>
        <v>-9.4828131923784531E-3</v>
      </c>
      <c r="E43" s="46"/>
    </row>
    <row r="44" spans="1:7" ht="16.5" customHeight="1" x14ac:dyDescent="0.3">
      <c r="C44" s="47"/>
      <c r="D44" s="46"/>
      <c r="E44" s="48"/>
    </row>
    <row r="45" spans="1:7" ht="16.5" customHeight="1" x14ac:dyDescent="0.3">
      <c r="B45" s="75" t="s">
        <v>39</v>
      </c>
      <c r="C45" s="76">
        <f>SUM(C24:C44)</f>
        <v>7898.5000000000009</v>
      </c>
      <c r="D45" s="71"/>
      <c r="E45" s="47"/>
    </row>
    <row r="46" spans="1:7" ht="17.25" customHeight="1" x14ac:dyDescent="0.3">
      <c r="B46" s="75" t="s">
        <v>40</v>
      </c>
      <c r="C46" s="77">
        <f>AVERAGE(C24:C44)</f>
        <v>394.92500000000007</v>
      </c>
      <c r="E46" s="49"/>
    </row>
    <row r="47" spans="1:7" ht="17.25" customHeight="1" x14ac:dyDescent="0.3">
      <c r="A47" s="53"/>
      <c r="B47" s="72"/>
      <c r="D47" s="51"/>
      <c r="E47" s="49"/>
    </row>
    <row r="48" spans="1:7" ht="33.75" customHeight="1" x14ac:dyDescent="0.3">
      <c r="B48" s="85" t="s">
        <v>40</v>
      </c>
      <c r="C48" s="78" t="s">
        <v>41</v>
      </c>
      <c r="D48" s="73"/>
      <c r="G48" s="51"/>
    </row>
    <row r="49" spans="1:6" ht="17.25" customHeight="1" x14ac:dyDescent="0.3">
      <c r="B49" s="288">
        <f>C46</f>
        <v>394.92500000000007</v>
      </c>
      <c r="C49" s="86">
        <f>-IF(C46&lt;=80,10%,IF(C46&lt;250,7.5%,5%))</f>
        <v>-0.05</v>
      </c>
      <c r="D49" s="74">
        <f>IF(C46&lt;=80,C46*0.9,IF(C46&lt;250,C46*0.925,C46*0.95))</f>
        <v>375.17875000000004</v>
      </c>
    </row>
    <row r="50" spans="1:6" ht="17.25" customHeight="1" x14ac:dyDescent="0.3">
      <c r="B50" s="289"/>
      <c r="C50" s="87">
        <f>IF(C46&lt;=80, 10%, IF(C46&lt;250, 7.5%, 5%))</f>
        <v>0.05</v>
      </c>
      <c r="D50" s="74">
        <f>IF(C46&lt;=80, C46*1.1, IF(C46&lt;250, C46*1.075, C46*1.05))</f>
        <v>414.6712500000001</v>
      </c>
    </row>
    <row r="51" spans="1:6" ht="16.5" customHeight="1" x14ac:dyDescent="0.3">
      <c r="A51" s="56"/>
      <c r="B51" s="57"/>
      <c r="C51" s="53"/>
      <c r="D51" s="58"/>
      <c r="E51" s="53"/>
      <c r="F51" s="59"/>
    </row>
    <row r="52" spans="1:6" ht="16.5" customHeight="1" x14ac:dyDescent="0.3">
      <c r="A52" s="53"/>
      <c r="B52" s="60" t="s">
        <v>23</v>
      </c>
      <c r="C52" s="60"/>
      <c r="D52" s="61" t="s">
        <v>24</v>
      </c>
      <c r="E52" s="62"/>
      <c r="F52" s="61" t="s">
        <v>25</v>
      </c>
    </row>
    <row r="53" spans="1:6" ht="34.5" customHeight="1" x14ac:dyDescent="0.3">
      <c r="A53" s="63" t="s">
        <v>26</v>
      </c>
      <c r="B53" s="64" t="s">
        <v>123</v>
      </c>
      <c r="C53" s="65"/>
      <c r="D53" s="64" t="s">
        <v>124</v>
      </c>
      <c r="E53" s="54"/>
      <c r="F53" s="66"/>
    </row>
    <row r="54" spans="1:6" ht="34.5" customHeight="1" x14ac:dyDescent="0.3">
      <c r="A54" s="63" t="s">
        <v>27</v>
      </c>
      <c r="B54" s="67"/>
      <c r="C54" s="68"/>
      <c r="D54" s="67"/>
      <c r="E54" s="54"/>
      <c r="F54" s="6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5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70" zoomScaleNormal="40" zoomScaleSheetLayoutView="70" zoomScalePageLayoutView="50" workbookViewId="0">
      <selection activeCell="B20" sqref="B20:C2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24" t="s">
        <v>42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3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3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3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3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3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3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3">
      <c r="A8" s="325" t="s">
        <v>43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3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3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3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3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3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3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x14ac:dyDescent="0.35">
      <c r="A15" s="89"/>
    </row>
    <row r="16" spans="1:9" ht="19.5" customHeight="1" x14ac:dyDescent="0.35">
      <c r="A16" s="299" t="s">
        <v>28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3">
      <c r="A17" s="302" t="s">
        <v>44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5">
      <c r="A18" s="91" t="s">
        <v>30</v>
      </c>
      <c r="B18" s="298" t="s">
        <v>5</v>
      </c>
      <c r="C18" s="298"/>
      <c r="D18" s="253"/>
      <c r="E18" s="92"/>
      <c r="F18" s="93"/>
      <c r="G18" s="93"/>
      <c r="H18" s="93"/>
    </row>
    <row r="19" spans="1:14" ht="26.25" customHeight="1" x14ac:dyDescent="0.5">
      <c r="A19" s="91" t="s">
        <v>31</v>
      </c>
      <c r="B19" s="94" t="s">
        <v>7</v>
      </c>
      <c r="C19" s="255">
        <v>1</v>
      </c>
      <c r="D19" s="93"/>
      <c r="E19" s="93"/>
      <c r="F19" s="93"/>
      <c r="G19" s="93"/>
      <c r="H19" s="93"/>
    </row>
    <row r="20" spans="1:14" ht="26.25" customHeight="1" x14ac:dyDescent="0.5">
      <c r="A20" s="91" t="s">
        <v>32</v>
      </c>
      <c r="B20" s="303" t="s">
        <v>9</v>
      </c>
      <c r="C20" s="303"/>
      <c r="D20" s="93"/>
      <c r="E20" s="93"/>
      <c r="F20" s="93"/>
      <c r="G20" s="93"/>
      <c r="H20" s="93"/>
    </row>
    <row r="21" spans="1:14" ht="26.25" customHeight="1" x14ac:dyDescent="0.5">
      <c r="A21" s="91" t="s">
        <v>33</v>
      </c>
      <c r="B21" s="303" t="s">
        <v>128</v>
      </c>
      <c r="C21" s="303"/>
      <c r="D21" s="303"/>
      <c r="E21" s="303"/>
      <c r="F21" s="303"/>
      <c r="G21" s="303"/>
      <c r="H21" s="303"/>
      <c r="I21" s="95"/>
    </row>
    <row r="22" spans="1:14" ht="26.25" customHeight="1" x14ac:dyDescent="0.5">
      <c r="A22" s="91" t="s">
        <v>34</v>
      </c>
      <c r="B22" s="96" t="s">
        <v>125</v>
      </c>
      <c r="C22" s="93"/>
      <c r="D22" s="93"/>
      <c r="E22" s="93"/>
      <c r="F22" s="93"/>
      <c r="G22" s="93"/>
      <c r="H22" s="93"/>
    </row>
    <row r="23" spans="1:14" ht="26.25" customHeight="1" x14ac:dyDescent="0.5">
      <c r="A23" s="91" t="s">
        <v>35</v>
      </c>
      <c r="B23" s="96" t="s">
        <v>126</v>
      </c>
      <c r="C23" s="93"/>
      <c r="D23" s="93"/>
      <c r="E23" s="93"/>
      <c r="F23" s="93"/>
      <c r="G23" s="93"/>
      <c r="H23" s="93"/>
    </row>
    <row r="24" spans="1:14" ht="18" x14ac:dyDescent="0.35">
      <c r="A24" s="91"/>
      <c r="B24" s="97"/>
    </row>
    <row r="25" spans="1:14" ht="18" x14ac:dyDescent="0.35">
      <c r="A25" s="98" t="s">
        <v>1</v>
      </c>
      <c r="B25" s="97"/>
    </row>
    <row r="26" spans="1:14" ht="26.25" customHeight="1" x14ac:dyDescent="0.45">
      <c r="A26" s="99" t="s">
        <v>4</v>
      </c>
      <c r="B26" s="298" t="s">
        <v>9</v>
      </c>
      <c r="C26" s="298"/>
    </row>
    <row r="27" spans="1:14" ht="26.25" customHeight="1" x14ac:dyDescent="0.5">
      <c r="A27" s="100" t="s">
        <v>45</v>
      </c>
      <c r="B27" s="304" t="s">
        <v>119</v>
      </c>
      <c r="C27" s="304"/>
    </row>
    <row r="28" spans="1:14" ht="27" customHeight="1" x14ac:dyDescent="0.45">
      <c r="A28" s="100" t="s">
        <v>6</v>
      </c>
      <c r="B28" s="101">
        <v>93.6</v>
      </c>
    </row>
    <row r="29" spans="1:14" s="14" customFormat="1" ht="27" customHeight="1" x14ac:dyDescent="0.5">
      <c r="A29" s="100" t="s">
        <v>46</v>
      </c>
      <c r="B29" s="102"/>
      <c r="C29" s="305" t="s">
        <v>47</v>
      </c>
      <c r="D29" s="306"/>
      <c r="E29" s="306"/>
      <c r="F29" s="306"/>
      <c r="G29" s="307"/>
      <c r="I29" s="103"/>
      <c r="J29" s="103"/>
      <c r="K29" s="103"/>
      <c r="L29" s="103"/>
    </row>
    <row r="30" spans="1:14" s="14" customFormat="1" ht="19.5" customHeight="1" x14ac:dyDescent="0.35">
      <c r="A30" s="100" t="s">
        <v>48</v>
      </c>
      <c r="B30" s="104">
        <f>B28-B29</f>
        <v>93.6</v>
      </c>
      <c r="C30" s="105"/>
      <c r="D30" s="105"/>
      <c r="E30" s="105"/>
      <c r="F30" s="105"/>
      <c r="G30" s="106"/>
      <c r="H30" s="269" t="s">
        <v>127</v>
      </c>
      <c r="I30" s="103"/>
      <c r="J30" s="103"/>
      <c r="K30" s="103"/>
      <c r="L30" s="103"/>
    </row>
    <row r="31" spans="1:14" s="14" customFormat="1" ht="27" customHeight="1" x14ac:dyDescent="0.45">
      <c r="A31" s="100" t="s">
        <v>49</v>
      </c>
      <c r="B31" s="107">
        <v>1</v>
      </c>
      <c r="C31" s="308" t="s">
        <v>50</v>
      </c>
      <c r="D31" s="309"/>
      <c r="E31" s="309"/>
      <c r="F31" s="309"/>
      <c r="G31" s="309"/>
      <c r="H31" s="310"/>
      <c r="I31" s="103"/>
      <c r="J31" s="103"/>
      <c r="K31" s="103"/>
      <c r="L31" s="103"/>
    </row>
    <row r="32" spans="1:14" s="14" customFormat="1" ht="27" customHeight="1" x14ac:dyDescent="0.45">
      <c r="A32" s="100" t="s">
        <v>51</v>
      </c>
      <c r="B32" s="107">
        <v>1</v>
      </c>
      <c r="C32" s="308" t="s">
        <v>52</v>
      </c>
      <c r="D32" s="309"/>
      <c r="E32" s="309"/>
      <c r="F32" s="309"/>
      <c r="G32" s="309"/>
      <c r="H32" s="310"/>
      <c r="I32" s="103"/>
      <c r="J32" s="103"/>
      <c r="K32" s="103"/>
      <c r="L32" s="108"/>
      <c r="M32" s="108"/>
      <c r="N32" s="109"/>
    </row>
    <row r="33" spans="1:14" s="14" customFormat="1" ht="17.25" customHeight="1" x14ac:dyDescent="0.35">
      <c r="A33" s="100"/>
      <c r="B33" s="110"/>
      <c r="C33" s="111"/>
      <c r="D33" s="111"/>
      <c r="E33" s="111"/>
      <c r="F33" s="111"/>
      <c r="G33" s="111"/>
      <c r="H33" s="111"/>
      <c r="I33" s="103"/>
      <c r="J33" s="103"/>
      <c r="K33" s="103"/>
      <c r="L33" s="108"/>
      <c r="M33" s="108"/>
      <c r="N33" s="109"/>
    </row>
    <row r="34" spans="1:14" s="14" customFormat="1" ht="18" x14ac:dyDescent="0.35">
      <c r="A34" s="100" t="s">
        <v>53</v>
      </c>
      <c r="B34" s="112">
        <f>B31/B32</f>
        <v>1</v>
      </c>
      <c r="C34" s="90" t="s">
        <v>54</v>
      </c>
      <c r="D34" s="90"/>
      <c r="E34" s="90"/>
      <c r="F34" s="90"/>
      <c r="G34" s="90"/>
      <c r="I34" s="103"/>
      <c r="J34" s="103"/>
      <c r="K34" s="103"/>
      <c r="L34" s="108"/>
      <c r="M34" s="108"/>
      <c r="N34" s="109"/>
    </row>
    <row r="35" spans="1:14" s="14" customFormat="1" ht="19.5" customHeight="1" x14ac:dyDescent="0.35">
      <c r="A35" s="100"/>
      <c r="B35" s="104"/>
      <c r="G35" s="90"/>
      <c r="I35" s="103"/>
      <c r="J35" s="103"/>
      <c r="K35" s="103"/>
      <c r="L35" s="108"/>
      <c r="M35" s="108"/>
      <c r="N35" s="109"/>
    </row>
    <row r="36" spans="1:14" s="14" customFormat="1" ht="27" customHeight="1" x14ac:dyDescent="0.45">
      <c r="A36" s="113" t="s">
        <v>55</v>
      </c>
      <c r="B36" s="114">
        <v>100</v>
      </c>
      <c r="C36" s="90"/>
      <c r="D36" s="296" t="s">
        <v>56</v>
      </c>
      <c r="E36" s="311"/>
      <c r="F36" s="296" t="s">
        <v>57</v>
      </c>
      <c r="G36" s="297"/>
      <c r="J36" s="103"/>
      <c r="K36" s="103"/>
      <c r="L36" s="108"/>
      <c r="M36" s="108"/>
      <c r="N36" s="109"/>
    </row>
    <row r="37" spans="1:14" s="14" customFormat="1" ht="27" customHeight="1" x14ac:dyDescent="0.45">
      <c r="A37" s="115" t="s">
        <v>58</v>
      </c>
      <c r="B37" s="116">
        <v>1</v>
      </c>
      <c r="C37" s="117" t="s">
        <v>59</v>
      </c>
      <c r="D37" s="118" t="s">
        <v>60</v>
      </c>
      <c r="E37" s="119" t="s">
        <v>61</v>
      </c>
      <c r="F37" s="118" t="s">
        <v>60</v>
      </c>
      <c r="G37" s="120" t="s">
        <v>61</v>
      </c>
      <c r="I37" s="121" t="s">
        <v>62</v>
      </c>
      <c r="J37" s="103"/>
      <c r="K37" s="103"/>
      <c r="L37" s="108"/>
      <c r="M37" s="108"/>
      <c r="N37" s="109"/>
    </row>
    <row r="38" spans="1:14" s="14" customFormat="1" ht="26.25" customHeight="1" x14ac:dyDescent="0.45">
      <c r="A38" s="115" t="s">
        <v>63</v>
      </c>
      <c r="B38" s="116">
        <v>1</v>
      </c>
      <c r="C38" s="122">
        <v>1</v>
      </c>
      <c r="D38" s="123">
        <v>95919330</v>
      </c>
      <c r="E38" s="124">
        <f>IF(ISBLANK(D38),"-",$D$48/$D$45*D38)</f>
        <v>96223395.93114242</v>
      </c>
      <c r="F38" s="123">
        <v>92464542</v>
      </c>
      <c r="G38" s="125">
        <f>IF(ISBLANK(F38),"-",$D$48/$F$45*F38)</f>
        <v>98491429.557481423</v>
      </c>
      <c r="I38" s="126"/>
      <c r="J38" s="103"/>
      <c r="K38" s="103"/>
      <c r="L38" s="108"/>
      <c r="M38" s="108"/>
      <c r="N38" s="109"/>
    </row>
    <row r="39" spans="1:14" s="14" customFormat="1" ht="26.25" customHeight="1" x14ac:dyDescent="0.45">
      <c r="A39" s="115" t="s">
        <v>64</v>
      </c>
      <c r="B39" s="116">
        <v>1</v>
      </c>
      <c r="C39" s="127">
        <v>2</v>
      </c>
      <c r="D39" s="128">
        <v>96446573</v>
      </c>
      <c r="E39" s="129">
        <f>IF(ISBLANK(D39),"-",$D$48/$D$45*D39)</f>
        <v>96752310.300549746</v>
      </c>
      <c r="F39" s="128">
        <v>92802718</v>
      </c>
      <c r="G39" s="130">
        <f>IF(ISBLANK(F39),"-",$D$48/$F$45*F39)</f>
        <v>98851648.047311082</v>
      </c>
      <c r="I39" s="313">
        <f>ABS((F43/D43*D42)-F42)/D42</f>
        <v>1.9408088967494214E-2</v>
      </c>
      <c r="J39" s="103"/>
      <c r="K39" s="103"/>
      <c r="L39" s="108"/>
      <c r="M39" s="108"/>
      <c r="N39" s="109"/>
    </row>
    <row r="40" spans="1:14" ht="26.25" customHeight="1" x14ac:dyDescent="0.45">
      <c r="A40" s="115" t="s">
        <v>65</v>
      </c>
      <c r="B40" s="116">
        <v>1</v>
      </c>
      <c r="C40" s="127">
        <v>3</v>
      </c>
      <c r="D40" s="128">
        <v>96530009</v>
      </c>
      <c r="E40" s="129">
        <f>IF(ISBLANK(D40),"-",$D$48/$D$45*D40)</f>
        <v>96836010.794109389</v>
      </c>
      <c r="F40" s="128">
        <v>92417216</v>
      </c>
      <c r="G40" s="130">
        <f>IF(ISBLANK(F40),"-",$D$48/$F$45*F40)</f>
        <v>98441018.823870286</v>
      </c>
      <c r="I40" s="313"/>
      <c r="L40" s="108"/>
      <c r="M40" s="108"/>
      <c r="N40" s="131"/>
    </row>
    <row r="41" spans="1:14" ht="27" customHeight="1" x14ac:dyDescent="0.45">
      <c r="A41" s="115" t="s">
        <v>66</v>
      </c>
      <c r="B41" s="116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8"/>
      <c r="M41" s="108"/>
      <c r="N41" s="131"/>
    </row>
    <row r="42" spans="1:14" ht="27" customHeight="1" x14ac:dyDescent="0.45">
      <c r="A42" s="115" t="s">
        <v>67</v>
      </c>
      <c r="B42" s="116">
        <v>1</v>
      </c>
      <c r="C42" s="137" t="s">
        <v>68</v>
      </c>
      <c r="D42" s="138">
        <f>AVERAGE(D38:D41)</f>
        <v>96298637.333333328</v>
      </c>
      <c r="E42" s="139">
        <f>AVERAGE(E38:E41)</f>
        <v>96603905.675267175</v>
      </c>
      <c r="F42" s="138">
        <f>AVERAGE(F38:F41)</f>
        <v>92561492</v>
      </c>
      <c r="G42" s="140">
        <f>AVERAGE(G38:G41)</f>
        <v>98594698.809554264</v>
      </c>
      <c r="H42" s="141"/>
    </row>
    <row r="43" spans="1:14" ht="26.25" customHeight="1" x14ac:dyDescent="0.45">
      <c r="A43" s="115" t="s">
        <v>69</v>
      </c>
      <c r="B43" s="116">
        <v>1</v>
      </c>
      <c r="C43" s="142" t="s">
        <v>70</v>
      </c>
      <c r="D43" s="143">
        <v>21.3</v>
      </c>
      <c r="E43" s="131"/>
      <c r="F43" s="143">
        <v>20.059999999999999</v>
      </c>
      <c r="H43" s="141"/>
    </row>
    <row r="44" spans="1:14" ht="26.25" customHeight="1" x14ac:dyDescent="0.45">
      <c r="A44" s="115" t="s">
        <v>71</v>
      </c>
      <c r="B44" s="116">
        <v>1</v>
      </c>
      <c r="C44" s="144" t="s">
        <v>72</v>
      </c>
      <c r="D44" s="145">
        <f>D43*$B$34</f>
        <v>21.3</v>
      </c>
      <c r="E44" s="146"/>
      <c r="F44" s="145">
        <f>F43*$B$34</f>
        <v>20.059999999999999</v>
      </c>
      <c r="H44" s="141"/>
    </row>
    <row r="45" spans="1:14" ht="19.5" customHeight="1" x14ac:dyDescent="0.35">
      <c r="A45" s="115" t="s">
        <v>73</v>
      </c>
      <c r="B45" s="147">
        <f>(B44/B43)*(B42/B41)*(B40/B39)*(B38/B37)*B36</f>
        <v>100</v>
      </c>
      <c r="C45" s="144" t="s">
        <v>74</v>
      </c>
      <c r="D45" s="148">
        <f>D44*$B$30/100</f>
        <v>19.936799999999998</v>
      </c>
      <c r="E45" s="149"/>
      <c r="F45" s="148">
        <f>F44*$B$30/100</f>
        <v>18.776159999999997</v>
      </c>
      <c r="H45" s="141"/>
    </row>
    <row r="46" spans="1:14" ht="19.5" customHeight="1" x14ac:dyDescent="0.35">
      <c r="A46" s="314" t="s">
        <v>75</v>
      </c>
      <c r="B46" s="315"/>
      <c r="C46" s="144" t="s">
        <v>76</v>
      </c>
      <c r="D46" s="150">
        <f>D45/$B$45</f>
        <v>0.19936799999999999</v>
      </c>
      <c r="E46" s="151"/>
      <c r="F46" s="152">
        <f>F45/$B$45</f>
        <v>0.18776159999999997</v>
      </c>
      <c r="H46" s="141"/>
    </row>
    <row r="47" spans="1:14" ht="27" customHeight="1" x14ac:dyDescent="0.45">
      <c r="A47" s="316"/>
      <c r="B47" s="317"/>
      <c r="C47" s="153" t="s">
        <v>77</v>
      </c>
      <c r="D47" s="154">
        <v>0.2</v>
      </c>
      <c r="E47" s="155"/>
      <c r="F47" s="151"/>
      <c r="H47" s="141"/>
    </row>
    <row r="48" spans="1:14" ht="18" x14ac:dyDescent="0.35">
      <c r="C48" s="156" t="s">
        <v>78</v>
      </c>
      <c r="D48" s="148">
        <f>D47*$B$45</f>
        <v>20</v>
      </c>
      <c r="F48" s="157"/>
      <c r="H48" s="141"/>
    </row>
    <row r="49" spans="1:12" ht="19.5" customHeight="1" x14ac:dyDescent="0.35">
      <c r="C49" s="158" t="s">
        <v>79</v>
      </c>
      <c r="D49" s="159">
        <f>D48/B34</f>
        <v>20</v>
      </c>
      <c r="F49" s="157"/>
      <c r="H49" s="141"/>
    </row>
    <row r="50" spans="1:12" ht="18" x14ac:dyDescent="0.35">
      <c r="C50" s="113" t="s">
        <v>80</v>
      </c>
      <c r="D50" s="160">
        <f>AVERAGE(E38:E41,G38:G41)</f>
        <v>97599302.242410719</v>
      </c>
      <c r="F50" s="161"/>
      <c r="H50" s="141"/>
    </row>
    <row r="51" spans="1:12" ht="18" x14ac:dyDescent="0.35">
      <c r="C51" s="115" t="s">
        <v>81</v>
      </c>
      <c r="D51" s="162">
        <f>STDEV(E38:E41,G38:G41)/D50</f>
        <v>1.1469887539141129E-2</v>
      </c>
      <c r="F51" s="161"/>
      <c r="H51" s="141"/>
    </row>
    <row r="52" spans="1:12" ht="19.5" customHeight="1" x14ac:dyDescent="0.35">
      <c r="C52" s="163" t="s">
        <v>18</v>
      </c>
      <c r="D52" s="164">
        <f>COUNT(E38:E41,G38:G41)</f>
        <v>6</v>
      </c>
      <c r="F52" s="161"/>
    </row>
    <row r="54" spans="1:12" ht="18" x14ac:dyDescent="0.35">
      <c r="A54" s="165" t="s">
        <v>1</v>
      </c>
      <c r="B54" s="166" t="s">
        <v>82</v>
      </c>
    </row>
    <row r="55" spans="1:12" ht="18" x14ac:dyDescent="0.35">
      <c r="A55" s="90" t="s">
        <v>83</v>
      </c>
      <c r="B55" s="167" t="str">
        <f>B21</f>
        <v>Each coated tablet contains quinine sulphate B.P 300 mg</v>
      </c>
    </row>
    <row r="56" spans="1:12" ht="26.25" customHeight="1" x14ac:dyDescent="0.45">
      <c r="A56" s="168" t="s">
        <v>84</v>
      </c>
      <c r="B56" s="169">
        <v>300</v>
      </c>
      <c r="C56" s="90" t="str">
        <f>B20</f>
        <v>QUININE SULPHATE</v>
      </c>
      <c r="H56" s="170"/>
    </row>
    <row r="57" spans="1:12" ht="18" x14ac:dyDescent="0.35">
      <c r="A57" s="167" t="s">
        <v>129</v>
      </c>
      <c r="B57" s="254">
        <f>Uniformity!C46</f>
        <v>394.92500000000007</v>
      </c>
      <c r="H57" s="170"/>
    </row>
    <row r="58" spans="1:12" ht="19.5" customHeight="1" x14ac:dyDescent="0.35">
      <c r="H58" s="170"/>
    </row>
    <row r="59" spans="1:12" s="14" customFormat="1" ht="27" customHeight="1" x14ac:dyDescent="0.45">
      <c r="A59" s="113" t="s">
        <v>85</v>
      </c>
      <c r="B59" s="114">
        <v>100</v>
      </c>
      <c r="C59" s="90"/>
      <c r="D59" s="171" t="s">
        <v>86</v>
      </c>
      <c r="E59" s="172" t="s">
        <v>59</v>
      </c>
      <c r="F59" s="172" t="s">
        <v>60</v>
      </c>
      <c r="G59" s="172" t="s">
        <v>87</v>
      </c>
      <c r="H59" s="117" t="s">
        <v>88</v>
      </c>
      <c r="L59" s="103"/>
    </row>
    <row r="60" spans="1:12" s="14" customFormat="1" ht="26.25" customHeight="1" x14ac:dyDescent="0.45">
      <c r="A60" s="115" t="s">
        <v>89</v>
      </c>
      <c r="B60" s="116">
        <v>3</v>
      </c>
      <c r="C60" s="318" t="s">
        <v>90</v>
      </c>
      <c r="D60" s="321">
        <v>400.18</v>
      </c>
      <c r="E60" s="173">
        <v>1</v>
      </c>
      <c r="F60" s="174">
        <v>83338070</v>
      </c>
      <c r="G60" s="256">
        <f>IF(ISBLANK(F60),"-",(F60/$D$50*$D$47*$B$68)*($B$57/$D$60))</f>
        <v>280.88899093338432</v>
      </c>
      <c r="H60" s="175">
        <f>IF(ISBLANK(F60),"-",G60/$B$56)</f>
        <v>0.93629663644461436</v>
      </c>
      <c r="L60" s="103"/>
    </row>
    <row r="61" spans="1:12" s="14" customFormat="1" ht="26.25" customHeight="1" x14ac:dyDescent="0.45">
      <c r="A61" s="115" t="s">
        <v>91</v>
      </c>
      <c r="B61" s="116">
        <v>50</v>
      </c>
      <c r="C61" s="319"/>
      <c r="D61" s="322"/>
      <c r="E61" s="176">
        <v>2</v>
      </c>
      <c r="F61" s="128">
        <v>83825406</v>
      </c>
      <c r="G61" s="257">
        <f>IF(ISBLANK(F61),"-",(F61/$D$50*$D$47*$B$68)*($B$57/$D$60))</f>
        <v>282.53154537801584</v>
      </c>
      <c r="H61" s="177">
        <f>IF(ISBLANK(F61),"-",G61/$B$56)</f>
        <v>0.94177181792671949</v>
      </c>
      <c r="L61" s="103"/>
    </row>
    <row r="62" spans="1:12" s="14" customFormat="1" ht="26.25" customHeight="1" x14ac:dyDescent="0.45">
      <c r="A62" s="115" t="s">
        <v>92</v>
      </c>
      <c r="B62" s="116">
        <v>1</v>
      </c>
      <c r="C62" s="319"/>
      <c r="D62" s="322"/>
      <c r="E62" s="176">
        <v>3</v>
      </c>
      <c r="F62" s="178">
        <v>83884794</v>
      </c>
      <c r="G62" s="257">
        <f>IF(ISBLANK(F62),"-",(F62/$D$50*$D$47*$B$68)*($B$57/$D$60))</f>
        <v>282.73171122531164</v>
      </c>
      <c r="H62" s="177">
        <f>IF(ISBLANK(F62),"-",G62/$B$56)</f>
        <v>0.94243903741770552</v>
      </c>
      <c r="L62" s="103"/>
    </row>
    <row r="63" spans="1:12" ht="27" customHeight="1" x14ac:dyDescent="0.45">
      <c r="A63" s="115" t="s">
        <v>93</v>
      </c>
      <c r="B63" s="116">
        <v>1</v>
      </c>
      <c r="C63" s="320"/>
      <c r="D63" s="323"/>
      <c r="E63" s="179">
        <v>4</v>
      </c>
      <c r="F63" s="180"/>
      <c r="G63" s="257" t="str">
        <f>IF(ISBLANK(F63),"-",(F63/$D$50*$D$47*$B$68)*($B$57/$D$60))</f>
        <v>-</v>
      </c>
      <c r="H63" s="177" t="str">
        <f>IF(ISBLANK(F63),"-",G63/$B$56)</f>
        <v>-</v>
      </c>
    </row>
    <row r="64" spans="1:12" ht="26.25" customHeight="1" x14ac:dyDescent="0.45">
      <c r="A64" s="115" t="s">
        <v>94</v>
      </c>
      <c r="B64" s="116">
        <v>1</v>
      </c>
      <c r="C64" s="318" t="s">
        <v>95</v>
      </c>
      <c r="D64" s="321">
        <v>391</v>
      </c>
      <c r="E64" s="173">
        <v>1</v>
      </c>
      <c r="F64" s="174">
        <v>79852182</v>
      </c>
      <c r="G64" s="258">
        <f>IF(ISBLANK(F64),"-",(F64/$D$50*$D$47*$B$68)*($B$57/$D$64))</f>
        <v>275.45882449930735</v>
      </c>
      <c r="H64" s="181">
        <f t="shared" ref="H64:H71" si="0">IF(ISBLANK(F64),"-",G64/$B$56)</f>
        <v>0.91819608166435784</v>
      </c>
    </row>
    <row r="65" spans="1:8" ht="26.25" customHeight="1" x14ac:dyDescent="0.45">
      <c r="A65" s="115" t="s">
        <v>96</v>
      </c>
      <c r="B65" s="116">
        <v>1</v>
      </c>
      <c r="C65" s="319"/>
      <c r="D65" s="322"/>
      <c r="E65" s="176">
        <v>2</v>
      </c>
      <c r="F65" s="128">
        <v>79974772</v>
      </c>
      <c r="G65" s="259">
        <f>IF(ISBLANK(F65),"-",(F65/$D$50*$D$47*$B$68)*($B$57/$D$64))</f>
        <v>275.88171209548307</v>
      </c>
      <c r="H65" s="182">
        <f t="shared" si="0"/>
        <v>0.91960570698494359</v>
      </c>
    </row>
    <row r="66" spans="1:8" ht="26.25" customHeight="1" x14ac:dyDescent="0.45">
      <c r="A66" s="115" t="s">
        <v>97</v>
      </c>
      <c r="B66" s="116">
        <v>1</v>
      </c>
      <c r="C66" s="319"/>
      <c r="D66" s="322"/>
      <c r="E66" s="176">
        <v>3</v>
      </c>
      <c r="F66" s="128">
        <v>79982027</v>
      </c>
      <c r="G66" s="259">
        <f>IF(ISBLANK(F66),"-",(F66/$D$50*$D$47*$B$68)*($B$57/$D$64))</f>
        <v>275.90673901048638</v>
      </c>
      <c r="H66" s="182">
        <f t="shared" si="0"/>
        <v>0.91968913003495456</v>
      </c>
    </row>
    <row r="67" spans="1:8" ht="27" customHeight="1" x14ac:dyDescent="0.45">
      <c r="A67" s="115" t="s">
        <v>98</v>
      </c>
      <c r="B67" s="116">
        <v>1</v>
      </c>
      <c r="C67" s="320"/>
      <c r="D67" s="323"/>
      <c r="E67" s="179">
        <v>4</v>
      </c>
      <c r="F67" s="180"/>
      <c r="G67" s="260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5">
      <c r="A68" s="115" t="s">
        <v>99</v>
      </c>
      <c r="B68" s="272">
        <f>(B67/B66)*(B65/B64)*(B63/B62)*(B61/B60)*B59</f>
        <v>1666.6666666666667</v>
      </c>
      <c r="C68" s="318" t="s">
        <v>100</v>
      </c>
      <c r="D68" s="321">
        <v>405.4</v>
      </c>
      <c r="E68" s="173">
        <v>1</v>
      </c>
      <c r="F68" s="174">
        <v>84795870</v>
      </c>
      <c r="G68" s="258">
        <f>IF(ISBLANK(F68),"-",(F68/$D$50*$D$47*$B$68)*($B$57/$D$68))</f>
        <v>282.12242961523305</v>
      </c>
      <c r="H68" s="177">
        <f t="shared" si="0"/>
        <v>0.94040809871744346</v>
      </c>
    </row>
    <row r="69" spans="1:8" ht="27" customHeight="1" x14ac:dyDescent="0.5">
      <c r="A69" s="163" t="s">
        <v>101</v>
      </c>
      <c r="B69" s="184">
        <f>(D47*B68)/B56*B57</f>
        <v>438.80555555555566</v>
      </c>
      <c r="C69" s="319"/>
      <c r="D69" s="322"/>
      <c r="E69" s="176">
        <v>2</v>
      </c>
      <c r="F69" s="128">
        <v>85197957</v>
      </c>
      <c r="G69" s="259">
        <f>IF(ISBLANK(F69),"-",(F69/$D$50*$D$47*$B$68)*($B$57/$D$68))</f>
        <v>283.46020421860345</v>
      </c>
      <c r="H69" s="177">
        <f t="shared" si="0"/>
        <v>0.94486734739534484</v>
      </c>
    </row>
    <row r="70" spans="1:8" ht="26.25" customHeight="1" x14ac:dyDescent="0.45">
      <c r="A70" s="331" t="s">
        <v>75</v>
      </c>
      <c r="B70" s="332"/>
      <c r="C70" s="319"/>
      <c r="D70" s="322"/>
      <c r="E70" s="176">
        <v>3</v>
      </c>
      <c r="F70" s="128">
        <v>84813603</v>
      </c>
      <c r="G70" s="259">
        <f>IF(ISBLANK(F70),"-",(F70/$D$50*$D$47*$B$68)*($B$57/$D$68))</f>
        <v>282.18142868021539</v>
      </c>
      <c r="H70" s="177">
        <f t="shared" si="0"/>
        <v>0.94060476226738465</v>
      </c>
    </row>
    <row r="71" spans="1:8" ht="27" customHeight="1" x14ac:dyDescent="0.45">
      <c r="A71" s="333"/>
      <c r="B71" s="334"/>
      <c r="C71" s="330"/>
      <c r="D71" s="323"/>
      <c r="E71" s="179">
        <v>4</v>
      </c>
      <c r="F71" s="180"/>
      <c r="G71" s="260" t="str">
        <f>IF(ISBLANK(F71),"-",(F71/$D$50*$D$47*$B$68)*($B$57/$D$68))</f>
        <v>-</v>
      </c>
      <c r="H71" s="185" t="str">
        <f t="shared" si="0"/>
        <v>-</v>
      </c>
    </row>
    <row r="72" spans="1:8" ht="26.25" customHeight="1" x14ac:dyDescent="0.45">
      <c r="A72" s="186"/>
      <c r="B72" s="186"/>
      <c r="C72" s="186"/>
      <c r="D72" s="186"/>
      <c r="E72" s="186"/>
      <c r="F72" s="187"/>
      <c r="G72" s="188" t="s">
        <v>68</v>
      </c>
      <c r="H72" s="189">
        <f>AVERAGE(H60:H71)</f>
        <v>0.93376429098371871</v>
      </c>
    </row>
    <row r="73" spans="1:8" ht="26.25" customHeight="1" x14ac:dyDescent="0.45">
      <c r="C73" s="186"/>
      <c r="D73" s="186"/>
      <c r="E73" s="186"/>
      <c r="F73" s="187"/>
      <c r="G73" s="190" t="s">
        <v>81</v>
      </c>
      <c r="H73" s="261">
        <f>STDEV(H60:H71)/H72</f>
        <v>1.1979029429629218E-2</v>
      </c>
    </row>
    <row r="74" spans="1:8" ht="27" customHeight="1" x14ac:dyDescent="0.45">
      <c r="A74" s="186"/>
      <c r="B74" s="186"/>
      <c r="C74" s="187"/>
      <c r="D74" s="187"/>
      <c r="E74" s="191"/>
      <c r="F74" s="187"/>
      <c r="G74" s="192" t="s">
        <v>18</v>
      </c>
      <c r="H74" s="193">
        <f>COUNT(H60:H71)</f>
        <v>9</v>
      </c>
    </row>
    <row r="76" spans="1:8" ht="26.25" customHeight="1" x14ac:dyDescent="0.45">
      <c r="A76" s="99" t="s">
        <v>102</v>
      </c>
      <c r="B76" s="194" t="s">
        <v>103</v>
      </c>
      <c r="C76" s="326" t="str">
        <f>B20</f>
        <v>QUININE SULPHATE</v>
      </c>
      <c r="D76" s="326"/>
      <c r="E76" s="195" t="s">
        <v>104</v>
      </c>
      <c r="F76" s="195"/>
      <c r="G76" s="196">
        <f>H72</f>
        <v>0.93376429098371871</v>
      </c>
      <c r="H76" s="197"/>
    </row>
    <row r="77" spans="1:8" ht="18" x14ac:dyDescent="0.35">
      <c r="A77" s="98" t="s">
        <v>105</v>
      </c>
      <c r="B77" s="98" t="s">
        <v>106</v>
      </c>
    </row>
    <row r="78" spans="1:8" ht="18" x14ac:dyDescent="0.35">
      <c r="A78" s="98"/>
      <c r="B78" s="98"/>
    </row>
    <row r="79" spans="1:8" ht="26.25" customHeight="1" x14ac:dyDescent="0.45">
      <c r="A79" s="99" t="s">
        <v>4</v>
      </c>
      <c r="B79" s="312" t="str">
        <f>B26</f>
        <v>QUININE SULPHATE</v>
      </c>
      <c r="C79" s="312"/>
    </row>
    <row r="80" spans="1:8" ht="26.25" customHeight="1" x14ac:dyDescent="0.45">
      <c r="A80" s="100" t="s">
        <v>45</v>
      </c>
      <c r="B80" s="312" t="str">
        <f>B27</f>
        <v>PRS/Q1-1</v>
      </c>
      <c r="C80" s="312"/>
    </row>
    <row r="81" spans="1:12" ht="27" customHeight="1" x14ac:dyDescent="0.45">
      <c r="A81" s="100" t="s">
        <v>6</v>
      </c>
      <c r="B81" s="198">
        <f>B28</f>
        <v>93.6</v>
      </c>
    </row>
    <row r="82" spans="1:12" s="14" customFormat="1" ht="27" customHeight="1" x14ac:dyDescent="0.5">
      <c r="A82" s="100" t="s">
        <v>46</v>
      </c>
      <c r="B82" s="102">
        <v>0</v>
      </c>
      <c r="C82" s="305" t="s">
        <v>47</v>
      </c>
      <c r="D82" s="306"/>
      <c r="E82" s="306"/>
      <c r="F82" s="306"/>
      <c r="G82" s="307"/>
      <c r="I82" s="103"/>
      <c r="J82" s="103"/>
      <c r="K82" s="103"/>
      <c r="L82" s="103"/>
    </row>
    <row r="83" spans="1:12" s="14" customFormat="1" ht="19.5" customHeight="1" x14ac:dyDescent="0.35">
      <c r="A83" s="100" t="s">
        <v>48</v>
      </c>
      <c r="B83" s="104">
        <f>B81-B82</f>
        <v>93.6</v>
      </c>
      <c r="C83" s="105"/>
      <c r="D83" s="105"/>
      <c r="E83" s="105"/>
      <c r="F83" s="105"/>
      <c r="G83" s="106"/>
      <c r="I83" s="103"/>
      <c r="J83" s="103"/>
      <c r="K83" s="103"/>
      <c r="L83" s="103"/>
    </row>
    <row r="84" spans="1:12" s="14" customFormat="1" ht="27" customHeight="1" x14ac:dyDescent="0.45">
      <c r="A84" s="100" t="s">
        <v>49</v>
      </c>
      <c r="B84" s="107">
        <v>1</v>
      </c>
      <c r="C84" s="308" t="s">
        <v>107</v>
      </c>
      <c r="D84" s="309"/>
      <c r="E84" s="309"/>
      <c r="F84" s="309"/>
      <c r="G84" s="309"/>
      <c r="H84" s="310"/>
      <c r="I84" s="103"/>
      <c r="J84" s="103"/>
      <c r="K84" s="103"/>
      <c r="L84" s="103"/>
    </row>
    <row r="85" spans="1:12" s="14" customFormat="1" ht="27" customHeight="1" x14ac:dyDescent="0.45">
      <c r="A85" s="100" t="s">
        <v>51</v>
      </c>
      <c r="B85" s="107">
        <v>1</v>
      </c>
      <c r="C85" s="308" t="s">
        <v>108</v>
      </c>
      <c r="D85" s="309"/>
      <c r="E85" s="309"/>
      <c r="F85" s="309"/>
      <c r="G85" s="309"/>
      <c r="H85" s="310"/>
      <c r="I85" s="103"/>
      <c r="J85" s="103"/>
      <c r="K85" s="103"/>
      <c r="L85" s="103"/>
    </row>
    <row r="86" spans="1:12" s="14" customFormat="1" ht="18" x14ac:dyDescent="0.35">
      <c r="A86" s="100"/>
      <c r="B86" s="110"/>
      <c r="C86" s="111"/>
      <c r="D86" s="111"/>
      <c r="E86" s="111"/>
      <c r="F86" s="111"/>
      <c r="G86" s="111"/>
      <c r="H86" s="111"/>
      <c r="I86" s="103"/>
      <c r="J86" s="103"/>
      <c r="K86" s="103"/>
      <c r="L86" s="103"/>
    </row>
    <row r="87" spans="1:12" s="14" customFormat="1" ht="18" x14ac:dyDescent="0.35">
      <c r="A87" s="100" t="s">
        <v>53</v>
      </c>
      <c r="B87" s="112">
        <f>B84/B85</f>
        <v>1</v>
      </c>
      <c r="C87" s="90" t="s">
        <v>54</v>
      </c>
      <c r="D87" s="90"/>
      <c r="E87" s="90"/>
      <c r="F87" s="90"/>
      <c r="G87" s="90"/>
      <c r="I87" s="103"/>
      <c r="J87" s="103"/>
      <c r="K87" s="103"/>
      <c r="L87" s="103"/>
    </row>
    <row r="88" spans="1:12" ht="19.5" customHeight="1" thickBot="1" x14ac:dyDescent="0.4">
      <c r="A88" s="98"/>
      <c r="B88" s="98"/>
    </row>
    <row r="89" spans="1:12" ht="27" customHeight="1" thickBot="1" x14ac:dyDescent="0.5">
      <c r="A89" s="113" t="s">
        <v>55</v>
      </c>
      <c r="B89" s="114">
        <v>50</v>
      </c>
      <c r="D89" s="296" t="s">
        <v>56</v>
      </c>
      <c r="E89" s="297"/>
      <c r="F89" s="296" t="s">
        <v>57</v>
      </c>
      <c r="G89" s="297"/>
    </row>
    <row r="90" spans="1:12" ht="27" customHeight="1" thickBot="1" x14ac:dyDescent="0.5">
      <c r="A90" s="115" t="s">
        <v>58</v>
      </c>
      <c r="B90" s="116">
        <v>3</v>
      </c>
      <c r="C90" s="199" t="s">
        <v>59</v>
      </c>
      <c r="D90" s="118" t="s">
        <v>60</v>
      </c>
      <c r="E90" s="119" t="s">
        <v>61</v>
      </c>
      <c r="F90" s="118" t="s">
        <v>60</v>
      </c>
      <c r="G90" s="200" t="s">
        <v>61</v>
      </c>
      <c r="I90" s="121" t="s">
        <v>62</v>
      </c>
    </row>
    <row r="91" spans="1:12" ht="26.25" customHeight="1" x14ac:dyDescent="0.45">
      <c r="A91" s="115" t="s">
        <v>63</v>
      </c>
      <c r="B91" s="116">
        <v>50</v>
      </c>
      <c r="C91" s="201">
        <v>1</v>
      </c>
      <c r="D91" s="123">
        <v>0.65600000000000003</v>
      </c>
      <c r="E91" s="124">
        <f>IF(ISBLANK(D91),"-",$D$101/$D$98*D91)</f>
        <v>0.71181667769114465</v>
      </c>
      <c r="F91" s="123">
        <v>0.64200000000000002</v>
      </c>
      <c r="G91" s="125">
        <f>IF(ISBLANK(F91),"-",$D$101/$F$98*F91)</f>
        <v>0.70331142682563874</v>
      </c>
      <c r="I91" s="126"/>
    </row>
    <row r="92" spans="1:12" ht="26.25" customHeight="1" x14ac:dyDescent="0.45">
      <c r="A92" s="115" t="s">
        <v>64</v>
      </c>
      <c r="B92" s="116">
        <v>2</v>
      </c>
      <c r="C92" s="187">
        <v>2</v>
      </c>
      <c r="D92" s="128">
        <v>0.65500000000000003</v>
      </c>
      <c r="E92" s="129">
        <f>IF(ISBLANK(D92),"-",$D$101/$D$98*D92)</f>
        <v>0.71073159129222518</v>
      </c>
      <c r="F92" s="128">
        <v>0.64100000000000001</v>
      </c>
      <c r="G92" s="130">
        <f>IF(ISBLANK(F92),"-",$D$101/$F$98*F92)</f>
        <v>0.70221592616080131</v>
      </c>
      <c r="I92" s="313">
        <f>ABS((F96/D96*D95)-F95)/D95</f>
        <v>1.1856775419796402E-2</v>
      </c>
    </row>
    <row r="93" spans="1:12" ht="26.25" customHeight="1" x14ac:dyDescent="0.45">
      <c r="A93" s="115" t="s">
        <v>65</v>
      </c>
      <c r="B93" s="116">
        <v>50</v>
      </c>
      <c r="C93" s="187">
        <v>3</v>
      </c>
      <c r="D93" s="128">
        <v>0.65500000000000003</v>
      </c>
      <c r="E93" s="129">
        <f>IF(ISBLANK(D93),"-",$D$101/$D$98*D93)</f>
        <v>0.71073159129222518</v>
      </c>
      <c r="F93" s="128">
        <v>0.64100000000000001</v>
      </c>
      <c r="G93" s="130">
        <f>IF(ISBLANK(F93),"-",$D$101/$F$98*F93)</f>
        <v>0.70221592616080131</v>
      </c>
      <c r="I93" s="313"/>
    </row>
    <row r="94" spans="1:12" ht="27" customHeight="1" x14ac:dyDescent="0.45">
      <c r="A94" s="115" t="s">
        <v>66</v>
      </c>
      <c r="B94" s="116">
        <v>1</v>
      </c>
      <c r="C94" s="202">
        <v>4</v>
      </c>
      <c r="D94" s="133"/>
      <c r="E94" s="134" t="str">
        <f>IF(ISBLANK(D94),"-",$D$101/$D$98*D94)</f>
        <v>-</v>
      </c>
      <c r="F94" s="203"/>
      <c r="G94" s="135" t="str">
        <f>IF(ISBLANK(F94),"-",$D$101/$F$98*F94)</f>
        <v>-</v>
      </c>
      <c r="I94" s="136"/>
    </row>
    <row r="95" spans="1:12" ht="27" customHeight="1" x14ac:dyDescent="0.45">
      <c r="A95" s="115" t="s">
        <v>67</v>
      </c>
      <c r="B95" s="116">
        <v>1</v>
      </c>
      <c r="C95" s="204" t="s">
        <v>68</v>
      </c>
      <c r="D95" s="267">
        <f>AVERAGE(D91:D94)</f>
        <v>0.65533333333333332</v>
      </c>
      <c r="E95" s="139">
        <f>AVERAGE(E91:E94)</f>
        <v>0.71109328675853156</v>
      </c>
      <c r="F95" s="268">
        <f>AVERAGE(F91:F94)</f>
        <v>0.64133333333333331</v>
      </c>
      <c r="G95" s="205">
        <f>AVERAGE(G91:G94)</f>
        <v>0.70258109304908045</v>
      </c>
    </row>
    <row r="96" spans="1:12" ht="26.25" customHeight="1" x14ac:dyDescent="0.45">
      <c r="A96" s="115" t="s">
        <v>69</v>
      </c>
      <c r="B96" s="101">
        <v>1</v>
      </c>
      <c r="C96" s="206" t="s">
        <v>109</v>
      </c>
      <c r="D96" s="207">
        <v>27.35</v>
      </c>
      <c r="E96" s="131"/>
      <c r="F96" s="143">
        <v>27.09</v>
      </c>
    </row>
    <row r="97" spans="1:10" ht="26.25" customHeight="1" x14ac:dyDescent="0.45">
      <c r="A97" s="115" t="s">
        <v>71</v>
      </c>
      <c r="B97" s="101">
        <v>1</v>
      </c>
      <c r="C97" s="208" t="s">
        <v>110</v>
      </c>
      <c r="D97" s="209">
        <f>D96*$B$87</f>
        <v>27.35</v>
      </c>
      <c r="E97" s="146"/>
      <c r="F97" s="145">
        <f>F96*$B$87</f>
        <v>27.09</v>
      </c>
    </row>
    <row r="98" spans="1:10" ht="19.5" customHeight="1" x14ac:dyDescent="0.35">
      <c r="A98" s="115" t="s">
        <v>73</v>
      </c>
      <c r="B98" s="210">
        <f>(B97/B96)*(B95/B94)*(B93/B92)*(B91/B90)*B89</f>
        <v>20833.333333333336</v>
      </c>
      <c r="C98" s="208" t="s">
        <v>111</v>
      </c>
      <c r="D98" s="211">
        <f>D97*$B$83/100</f>
        <v>25.599599999999999</v>
      </c>
      <c r="E98" s="149"/>
      <c r="F98" s="148">
        <f>F97*$B$83/100</f>
        <v>25.35624</v>
      </c>
    </row>
    <row r="99" spans="1:10" ht="19.5" customHeight="1" x14ac:dyDescent="0.35">
      <c r="A99" s="314" t="s">
        <v>75</v>
      </c>
      <c r="B99" s="328"/>
      <c r="C99" s="208" t="s">
        <v>76</v>
      </c>
      <c r="D99" s="212">
        <f>D98/$B$98</f>
        <v>1.2287807999999999E-3</v>
      </c>
      <c r="E99" s="149"/>
      <c r="F99" s="152">
        <f>F98/$B$98</f>
        <v>1.2170995199999998E-3</v>
      </c>
      <c r="G99" s="213"/>
      <c r="H99" s="141"/>
    </row>
    <row r="100" spans="1:10" ht="19.5" customHeight="1" x14ac:dyDescent="0.35">
      <c r="A100" s="316"/>
      <c r="B100" s="329"/>
      <c r="C100" s="208" t="s">
        <v>77</v>
      </c>
      <c r="D100" s="214">
        <f>$B$56/$B$116</f>
        <v>1.3333333333333333E-3</v>
      </c>
      <c r="F100" s="157"/>
      <c r="G100" s="215"/>
      <c r="H100" s="141"/>
    </row>
    <row r="101" spans="1:10" ht="18" x14ac:dyDescent="0.35">
      <c r="C101" s="208" t="s">
        <v>78</v>
      </c>
      <c r="D101" s="209">
        <f>D100*$B$98</f>
        <v>27.777777777777779</v>
      </c>
      <c r="F101" s="157"/>
      <c r="G101" s="213"/>
      <c r="H101" s="141"/>
    </row>
    <row r="102" spans="1:10" ht="19.5" customHeight="1" x14ac:dyDescent="0.35">
      <c r="C102" s="216" t="s">
        <v>79</v>
      </c>
      <c r="D102" s="217">
        <f>D101/B34</f>
        <v>27.777777777777779</v>
      </c>
      <c r="F102" s="161"/>
      <c r="G102" s="213"/>
      <c r="H102" s="141"/>
      <c r="J102" s="218"/>
    </row>
    <row r="103" spans="1:10" ht="18" x14ac:dyDescent="0.35">
      <c r="C103" s="219" t="s">
        <v>131</v>
      </c>
      <c r="D103" s="284">
        <f>AVERAGE(E91:E94,G91:G94)</f>
        <v>0.70683718990380606</v>
      </c>
      <c r="F103" s="161"/>
      <c r="G103" s="220"/>
      <c r="H103" s="141"/>
      <c r="J103" s="221"/>
    </row>
    <row r="104" spans="1:10" ht="18" x14ac:dyDescent="0.35">
      <c r="C104" s="190" t="s">
        <v>81</v>
      </c>
      <c r="D104" s="222">
        <f>STDEV(E91:E94,G91:G94)/D103</f>
        <v>6.6439541671686761E-3</v>
      </c>
      <c r="F104" s="161"/>
      <c r="G104" s="213"/>
      <c r="H104" s="141"/>
      <c r="J104" s="221"/>
    </row>
    <row r="105" spans="1:10" ht="19.5" customHeight="1" x14ac:dyDescent="0.35">
      <c r="C105" s="192" t="s">
        <v>18</v>
      </c>
      <c r="D105" s="223">
        <f>COUNT(E91:E94,G91:G94)</f>
        <v>6</v>
      </c>
      <c r="F105" s="161"/>
      <c r="G105" s="213"/>
      <c r="H105" s="141"/>
      <c r="J105" s="221"/>
    </row>
    <row r="106" spans="1:10" ht="19.5" customHeight="1" x14ac:dyDescent="0.35">
      <c r="A106" s="165"/>
      <c r="B106" s="165"/>
      <c r="C106" s="165"/>
      <c r="D106" s="165"/>
      <c r="E106" s="165"/>
    </row>
    <row r="107" spans="1:10" ht="26.25" customHeight="1" x14ac:dyDescent="0.45">
      <c r="A107" s="113" t="s">
        <v>112</v>
      </c>
      <c r="B107" s="114">
        <v>900</v>
      </c>
      <c r="C107" s="224" t="s">
        <v>113</v>
      </c>
      <c r="D107" s="225" t="s">
        <v>60</v>
      </c>
      <c r="E107" s="226" t="s">
        <v>114</v>
      </c>
      <c r="F107" s="227" t="s">
        <v>115</v>
      </c>
    </row>
    <row r="108" spans="1:10" ht="26.25" customHeight="1" x14ac:dyDescent="0.45">
      <c r="A108" s="115" t="s">
        <v>116</v>
      </c>
      <c r="B108" s="116">
        <v>5</v>
      </c>
      <c r="C108" s="228">
        <v>1</v>
      </c>
      <c r="D108" s="265">
        <v>0.65100000000000002</v>
      </c>
      <c r="E108" s="262">
        <f>IF(ISBLANK(D108),"-",D108/$D$103*$D$100*$B$116)</f>
        <v>276.30125124935557</v>
      </c>
      <c r="F108" s="229">
        <f>IF(ISBLANK(D108), "-", E108/$B$56)</f>
        <v>0.92100417083118524</v>
      </c>
    </row>
    <row r="109" spans="1:10" ht="26.25" customHeight="1" x14ac:dyDescent="0.45">
      <c r="A109" s="115" t="s">
        <v>91</v>
      </c>
      <c r="B109" s="116">
        <v>50</v>
      </c>
      <c r="C109" s="228">
        <v>2</v>
      </c>
      <c r="D109" s="265">
        <v>0.65</v>
      </c>
      <c r="E109" s="263">
        <f t="shared" ref="E109:E113" si="1">IF(ISBLANK(D109),"-",D109/$D$103*$D$100*$B$116)</f>
        <v>275.87682536417992</v>
      </c>
      <c r="F109" s="230">
        <f t="shared" ref="F109:F113" si="2">IF(ISBLANK(D109), "-", E109/$B$56)</f>
        <v>0.91958941788059978</v>
      </c>
    </row>
    <row r="110" spans="1:10" ht="26.25" customHeight="1" x14ac:dyDescent="0.45">
      <c r="A110" s="115" t="s">
        <v>92</v>
      </c>
      <c r="B110" s="116">
        <v>2</v>
      </c>
      <c r="C110" s="228">
        <v>3</v>
      </c>
      <c r="D110" s="265">
        <v>0.69499999999999995</v>
      </c>
      <c r="E110" s="263">
        <f t="shared" si="1"/>
        <v>294.97599019708463</v>
      </c>
      <c r="F110" s="230">
        <f>IF(ISBLANK(D110), "-", E110/$B$56)</f>
        <v>0.98325330065694871</v>
      </c>
    </row>
    <row r="111" spans="1:10" ht="26.25" customHeight="1" x14ac:dyDescent="0.45">
      <c r="A111" s="115" t="s">
        <v>93</v>
      </c>
      <c r="B111" s="116">
        <v>50</v>
      </c>
      <c r="C111" s="228">
        <v>4</v>
      </c>
      <c r="D111" s="265">
        <v>0.65100000000000002</v>
      </c>
      <c r="E111" s="263">
        <f t="shared" si="1"/>
        <v>276.30125124935557</v>
      </c>
      <c r="F111" s="230">
        <f t="shared" si="2"/>
        <v>0.92100417083118524</v>
      </c>
    </row>
    <row r="112" spans="1:10" ht="26.25" customHeight="1" x14ac:dyDescent="0.45">
      <c r="A112" s="115" t="s">
        <v>94</v>
      </c>
      <c r="B112" s="116">
        <v>1</v>
      </c>
      <c r="C112" s="228">
        <v>5</v>
      </c>
      <c r="D112" s="265">
        <v>0.65300000000000002</v>
      </c>
      <c r="E112" s="263">
        <f t="shared" si="1"/>
        <v>277.15010301970693</v>
      </c>
      <c r="F112" s="230">
        <f t="shared" si="2"/>
        <v>0.92383367673235639</v>
      </c>
    </row>
    <row r="113" spans="1:10" ht="26.25" customHeight="1" x14ac:dyDescent="0.45">
      <c r="A113" s="115" t="s">
        <v>96</v>
      </c>
      <c r="B113" s="116">
        <v>1</v>
      </c>
      <c r="C113" s="231">
        <v>6</v>
      </c>
      <c r="D113" s="266">
        <v>0.65100000000000002</v>
      </c>
      <c r="E113" s="264">
        <f t="shared" si="1"/>
        <v>276.30125124935557</v>
      </c>
      <c r="F113" s="232">
        <f t="shared" si="2"/>
        <v>0.92100417083118524</v>
      </c>
    </row>
    <row r="114" spans="1:10" ht="26.25" customHeight="1" x14ac:dyDescent="0.45">
      <c r="A114" s="115" t="s">
        <v>97</v>
      </c>
      <c r="B114" s="116">
        <v>1</v>
      </c>
      <c r="C114" s="228"/>
      <c r="D114" s="187"/>
      <c r="E114" s="89"/>
      <c r="F114" s="233"/>
    </row>
    <row r="115" spans="1:10" ht="26.25" customHeight="1" x14ac:dyDescent="0.45">
      <c r="A115" s="115" t="s">
        <v>98</v>
      </c>
      <c r="B115" s="116">
        <v>1</v>
      </c>
      <c r="C115" s="228"/>
      <c r="D115" s="234"/>
      <c r="E115" s="235" t="s">
        <v>68</v>
      </c>
      <c r="F115" s="236">
        <f>AVERAGE(F108:F113)</f>
        <v>0.93161481796057677</v>
      </c>
    </row>
    <row r="116" spans="1:10" ht="27" customHeight="1" x14ac:dyDescent="0.45">
      <c r="A116" s="115" t="s">
        <v>99</v>
      </c>
      <c r="B116" s="147">
        <f>(B115/B114)*(B113/B112)*(B111/B110)*(B109/B108)*B107</f>
        <v>225000</v>
      </c>
      <c r="C116" s="237"/>
      <c r="D116" s="238"/>
      <c r="E116" s="204" t="s">
        <v>81</v>
      </c>
      <c r="F116" s="239">
        <f>STDEV(F108:F113)/F115</f>
        <v>2.7195290397196349E-2</v>
      </c>
      <c r="I116" s="89"/>
    </row>
    <row r="117" spans="1:10" ht="27" customHeight="1" x14ac:dyDescent="0.45">
      <c r="A117" s="314" t="s">
        <v>75</v>
      </c>
      <c r="B117" s="315"/>
      <c r="C117" s="240"/>
      <c r="D117" s="241"/>
      <c r="E117" s="242" t="s">
        <v>18</v>
      </c>
      <c r="F117" s="243">
        <f>COUNT(F108:F113)</f>
        <v>6</v>
      </c>
      <c r="I117" s="89"/>
      <c r="J117" s="221"/>
    </row>
    <row r="118" spans="1:10" ht="19.5" customHeight="1" x14ac:dyDescent="0.35">
      <c r="A118" s="316"/>
      <c r="B118" s="317"/>
      <c r="C118" s="89"/>
      <c r="D118" s="89"/>
      <c r="E118" s="89"/>
      <c r="F118" s="187"/>
      <c r="G118" s="89"/>
      <c r="H118" s="89"/>
      <c r="I118" s="89"/>
    </row>
    <row r="119" spans="1:10" ht="18" x14ac:dyDescent="0.35">
      <c r="A119" s="252"/>
      <c r="B119" s="111"/>
      <c r="C119" s="89"/>
      <c r="D119" s="89"/>
      <c r="E119" s="89"/>
      <c r="F119" s="187"/>
      <c r="G119" s="89"/>
      <c r="H119" s="89"/>
      <c r="I119" s="89"/>
    </row>
    <row r="120" spans="1:10" ht="26.25" customHeight="1" x14ac:dyDescent="0.45">
      <c r="A120" s="99" t="s">
        <v>102</v>
      </c>
      <c r="B120" s="194" t="s">
        <v>117</v>
      </c>
      <c r="C120" s="326" t="str">
        <f>B20</f>
        <v>QUININE SULPHATE</v>
      </c>
      <c r="D120" s="326"/>
      <c r="E120" s="195" t="s">
        <v>118</v>
      </c>
      <c r="F120" s="195"/>
      <c r="G120" s="196">
        <f>F115</f>
        <v>0.93161481796057677</v>
      </c>
      <c r="H120" s="89"/>
      <c r="I120" s="89"/>
    </row>
    <row r="121" spans="1:10" ht="19.5" customHeight="1" x14ac:dyDescent="0.35">
      <c r="A121" s="244"/>
      <c r="B121" s="244"/>
      <c r="C121" s="245"/>
      <c r="D121" s="245"/>
      <c r="E121" s="245"/>
      <c r="F121" s="245"/>
      <c r="G121" s="245"/>
      <c r="H121" s="245"/>
    </row>
    <row r="122" spans="1:10" ht="18" x14ac:dyDescent="0.35">
      <c r="B122" s="327" t="s">
        <v>23</v>
      </c>
      <c r="C122" s="327"/>
      <c r="E122" s="199" t="s">
        <v>24</v>
      </c>
      <c r="F122" s="246"/>
      <c r="G122" s="327" t="s">
        <v>25</v>
      </c>
      <c r="H122" s="327"/>
    </row>
    <row r="123" spans="1:10" ht="69.900000000000006" customHeight="1" x14ac:dyDescent="0.35">
      <c r="A123" s="247" t="s">
        <v>26</v>
      </c>
      <c r="B123" s="248" t="s">
        <v>123</v>
      </c>
      <c r="C123" s="248"/>
      <c r="E123" s="248" t="s">
        <v>124</v>
      </c>
      <c r="F123" s="89"/>
      <c r="G123" s="249"/>
      <c r="H123" s="249"/>
    </row>
    <row r="124" spans="1:10" ht="69.900000000000006" customHeight="1" x14ac:dyDescent="0.35">
      <c r="A124" s="247" t="s">
        <v>27</v>
      </c>
      <c r="B124" s="250"/>
      <c r="C124" s="250"/>
      <c r="E124" s="250"/>
      <c r="F124" s="89"/>
      <c r="G124" s="251"/>
      <c r="H124" s="251"/>
    </row>
    <row r="125" spans="1:10" ht="18" x14ac:dyDescent="0.35">
      <c r="A125" s="186"/>
      <c r="B125" s="186"/>
      <c r="C125" s="187"/>
      <c r="D125" s="187"/>
      <c r="E125" s="187"/>
      <c r="F125" s="191"/>
      <c r="G125" s="187"/>
      <c r="H125" s="187"/>
      <c r="I125" s="89"/>
    </row>
    <row r="126" spans="1:10" ht="18" x14ac:dyDescent="0.35">
      <c r="A126" s="186"/>
      <c r="B126" s="186"/>
      <c r="C126" s="187"/>
      <c r="D126" s="187"/>
      <c r="E126" s="187"/>
      <c r="F126" s="191"/>
      <c r="G126" s="187"/>
      <c r="H126" s="187"/>
      <c r="I126" s="89"/>
    </row>
    <row r="127" spans="1:10" ht="18" x14ac:dyDescent="0.35">
      <c r="A127" s="186"/>
      <c r="B127" s="186"/>
      <c r="C127" s="187"/>
      <c r="D127" s="187"/>
      <c r="E127" s="187"/>
      <c r="F127" s="191"/>
      <c r="G127" s="187"/>
      <c r="H127" s="187"/>
      <c r="I127" s="89"/>
    </row>
    <row r="128" spans="1:10" ht="18" x14ac:dyDescent="0.35">
      <c r="A128" s="186"/>
      <c r="B128" s="186"/>
      <c r="C128" s="187"/>
      <c r="D128" s="187"/>
      <c r="E128" s="187"/>
      <c r="F128" s="191"/>
      <c r="G128" s="187"/>
      <c r="H128" s="187"/>
      <c r="I128" s="89"/>
    </row>
    <row r="129" spans="1:9" ht="18" x14ac:dyDescent="0.35">
      <c r="A129" s="186"/>
      <c r="B129" s="186"/>
      <c r="C129" s="187"/>
      <c r="D129" s="187"/>
      <c r="E129" s="187"/>
      <c r="F129" s="191"/>
      <c r="G129" s="187"/>
      <c r="H129" s="187"/>
      <c r="I129" s="89"/>
    </row>
    <row r="130" spans="1:9" ht="18" x14ac:dyDescent="0.35">
      <c r="A130" s="186"/>
      <c r="B130" s="186"/>
      <c r="C130" s="187"/>
      <c r="D130" s="187"/>
      <c r="E130" s="187"/>
      <c r="F130" s="191"/>
      <c r="G130" s="187"/>
      <c r="H130" s="187"/>
      <c r="I130" s="89"/>
    </row>
    <row r="131" spans="1:9" ht="18" x14ac:dyDescent="0.35">
      <c r="A131" s="186"/>
      <c r="B131" s="186"/>
      <c r="C131" s="187"/>
      <c r="D131" s="187"/>
      <c r="E131" s="187"/>
      <c r="F131" s="191"/>
      <c r="G131" s="187"/>
      <c r="H131" s="187"/>
      <c r="I131" s="89"/>
    </row>
    <row r="132" spans="1:9" ht="18" x14ac:dyDescent="0.35">
      <c r="A132" s="186"/>
      <c r="B132" s="186"/>
      <c r="C132" s="187"/>
      <c r="D132" s="187"/>
      <c r="E132" s="187"/>
      <c r="F132" s="191"/>
      <c r="G132" s="187"/>
      <c r="H132" s="187"/>
      <c r="I132" s="89"/>
    </row>
    <row r="133" spans="1:9" ht="18" x14ac:dyDescent="0.35">
      <c r="A133" s="186"/>
      <c r="B133" s="186"/>
      <c r="C133" s="187"/>
      <c r="D133" s="187"/>
      <c r="E133" s="187"/>
      <c r="F133" s="191"/>
      <c r="G133" s="187"/>
      <c r="H133" s="187"/>
      <c r="I133" s="89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7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D89:E89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Quinine sulphate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2015-10-16T09:55:39Z</cp:lastPrinted>
  <dcterms:created xsi:type="dcterms:W3CDTF">2005-07-05T10:19:27Z</dcterms:created>
  <dcterms:modified xsi:type="dcterms:W3CDTF">2015-10-16T10:25:22Z</dcterms:modified>
</cp:coreProperties>
</file>