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Bactaquin 750mg" sheetId="4" r:id="rId3"/>
    <sheet name="Sheet1" sheetId="5" r:id="rId4"/>
  </sheets>
  <definedNames>
    <definedName name="_xlnm.Print_Area" localSheetId="2">'Bactaquin 750mg'!$A$1:$J$129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115" i="4" l="1"/>
  <c r="G76" i="4"/>
  <c r="B68" i="4"/>
  <c r="B83" i="4" l="1"/>
  <c r="G42" i="4"/>
  <c r="B30" i="4"/>
  <c r="B34" i="4"/>
  <c r="D97" i="4" l="1"/>
  <c r="B98" i="4" l="1"/>
  <c r="D98" i="4" l="1"/>
  <c r="B21" i="1" l="1"/>
  <c r="F11" i="5" l="1"/>
  <c r="F16" i="5" l="1"/>
  <c r="C120" i="4" l="1"/>
  <c r="B116" i="4"/>
  <c r="F95" i="4"/>
  <c r="D95" i="4"/>
  <c r="B87" i="4"/>
  <c r="B79" i="4"/>
  <c r="C76" i="4"/>
  <c r="B69" i="4"/>
  <c r="C56" i="4"/>
  <c r="B55" i="4"/>
  <c r="B45" i="4"/>
  <c r="D48" i="4" s="1"/>
  <c r="F42" i="4"/>
  <c r="D42" i="4"/>
  <c r="F44" i="4"/>
  <c r="C46" i="2"/>
  <c r="B57" i="4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4" i="4" l="1"/>
  <c r="D45" i="4" s="1"/>
  <c r="E40" i="4" s="1"/>
  <c r="D43" i="2"/>
  <c r="D27" i="2"/>
  <c r="D31" i="2"/>
  <c r="D35" i="2"/>
  <c r="D36" i="2"/>
  <c r="D28" i="2"/>
  <c r="D39" i="2"/>
  <c r="D24" i="2"/>
  <c r="D32" i="2"/>
  <c r="D40" i="2"/>
  <c r="C49" i="2"/>
  <c r="D101" i="4"/>
  <c r="D102" i="4" s="1"/>
  <c r="I92" i="4"/>
  <c r="F97" i="4"/>
  <c r="F98" i="4" s="1"/>
  <c r="I39" i="4"/>
  <c r="D49" i="4"/>
  <c r="F45" i="4"/>
  <c r="G38" i="4" s="1"/>
  <c r="D49" i="2"/>
  <c r="C50" i="2"/>
  <c r="D25" i="2"/>
  <c r="D29" i="2"/>
  <c r="D33" i="2"/>
  <c r="D37" i="2"/>
  <c r="D41" i="2"/>
  <c r="D26" i="2"/>
  <c r="D30" i="2"/>
  <c r="D34" i="2"/>
  <c r="D38" i="2"/>
  <c r="D42" i="2"/>
  <c r="B49" i="2"/>
  <c r="D50" i="2"/>
  <c r="G91" i="4" l="1"/>
  <c r="E91" i="4"/>
  <c r="G40" i="4"/>
  <c r="E93" i="4"/>
  <c r="E92" i="4"/>
  <c r="G93" i="4"/>
  <c r="G94" i="4"/>
  <c r="F99" i="4"/>
  <c r="G92" i="4"/>
  <c r="D99" i="4"/>
  <c r="E94" i="4"/>
  <c r="G39" i="4"/>
  <c r="E41" i="4"/>
  <c r="E39" i="4"/>
  <c r="G41" i="4"/>
  <c r="D46" i="4"/>
  <c r="F46" i="4"/>
  <c r="E38" i="4"/>
  <c r="G95" i="4" l="1"/>
  <c r="E42" i="4"/>
  <c r="E95" i="4"/>
  <c r="D105" i="4"/>
  <c r="D50" i="4"/>
  <c r="G70" i="4" s="1"/>
  <c r="H70" i="4" s="1"/>
  <c r="D52" i="4"/>
  <c r="D103" i="4"/>
  <c r="E108" i="4" s="1"/>
  <c r="F108" i="4" s="1"/>
  <c r="E111" i="4" l="1"/>
  <c r="F111" i="4" s="1"/>
  <c r="D104" i="4"/>
  <c r="E110" i="4"/>
  <c r="F110" i="4" s="1"/>
  <c r="E113" i="4"/>
  <c r="F113" i="4" s="1"/>
  <c r="E109" i="4"/>
  <c r="F109" i="4" s="1"/>
  <c r="E112" i="4"/>
  <c r="F112" i="4" s="1"/>
  <c r="G60" i="4"/>
  <c r="H60" i="4" s="1"/>
  <c r="G62" i="4"/>
  <c r="H62" i="4" s="1"/>
  <c r="G61" i="4"/>
  <c r="H61" i="4" s="1"/>
  <c r="G71" i="4"/>
  <c r="H71" i="4" s="1"/>
  <c r="G66" i="4"/>
  <c r="H66" i="4" s="1"/>
  <c r="G63" i="4"/>
  <c r="H63" i="4" s="1"/>
  <c r="G69" i="4"/>
  <c r="H69" i="4" s="1"/>
  <c r="D51" i="4"/>
  <c r="G65" i="4"/>
  <c r="H65" i="4" s="1"/>
  <c r="G64" i="4"/>
  <c r="H64" i="4" s="1"/>
  <c r="G68" i="4"/>
  <c r="H68" i="4" s="1"/>
  <c r="G67" i="4"/>
  <c r="H67" i="4" s="1"/>
  <c r="G120" i="4" l="1"/>
  <c r="H73" i="4"/>
  <c r="H72" i="4"/>
  <c r="F117" i="4"/>
  <c r="H74" i="4"/>
  <c r="F116" i="4" l="1"/>
</calcChain>
</file>

<file path=xl/sharedStrings.xml><?xml version="1.0" encoding="utf-8"?>
<sst xmlns="http://schemas.openxmlformats.org/spreadsheetml/2006/main" count="232" uniqueCount="130">
  <si>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</si>
  <si>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</si>
  <si>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</si>
  <si>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</si>
  <si>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</si>
  <si>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</si>
  <si>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</si>
  <si>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</si>
  <si>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</si>
  <si>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</si>
  <si>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</si>
  <si>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</si>
  <si>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</si>
  <si>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</si>
  <si>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</si>
  <si>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</si>
  <si>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</si>
  <si>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</si>
  <si>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</si>
  <si>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</si>
  <si>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</si>
  <si>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</si>
  <si>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</si>
  <si>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</si>
  <si>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</si>
  <si>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</si>
  <si>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</si>
  <si>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</si>
  <si>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</si>
  <si>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</si>
  <si>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</si>
  <si>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</si>
  <si>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</si>
  <si>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</si>
  <si>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</si>
  <si>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</si>
  <si>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</si>
  <si>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</si>
  <si>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</si>
  <si>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</si>
  <si>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</si>
  <si>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</si>
  <si>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</si>
  <si>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</si>
  <si>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</si>
  <si>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</si>
  <si>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</si>
  <si>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</si>
  <si>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</si>
  <si>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</si>
  <si>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</si>
  <si>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</si>
  <si>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</si>
  <si>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</si>
  <si>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</si>
  <si>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</si>
  <si>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</si>
  <si>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</si>
  <si>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</si>
  <si>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</si>
  <si>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</si>
  <si>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</si>
  <si>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</si>
  <si>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</si>
  <si>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</si>
  <si>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</si>
  <si>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</si>
  <si>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</si>
  <si>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</si>
  <si>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</si>
  <si>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</si>
  <si>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</si>
  <si>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</si>
  <si>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</si>
  <si>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</si>
  <si>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</si>
  <si>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</si>
  <si>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</si>
  <si>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</si>
  <si>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</si>
  <si>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</si>
  <si>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</si>
  <si>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</si>
  <si>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</si>
  <si>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</si>
  <si>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</si>
  <si>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</si>
  <si>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</si>
  <si>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</si>
  <si>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</si>
  <si>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</si>
  <si>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</si>
  <si>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</si>
  <si>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</si>
  <si>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</si>
  <si>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</si>
  <si>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</si>
  <si>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</si>
  <si>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</si>
  <si>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Amt Released (mg):</t>
  </si>
  <si>
    <t>%age Released:</t>
  </si>
  <si>
    <t>If correction for water content is not needed please enter 0</t>
  </si>
  <si>
    <t>Amt of RS (mg):</t>
  </si>
  <si>
    <t>Amt of RS as free base (mg):</t>
  </si>
  <si>
    <t>Purity correction:</t>
  </si>
  <si>
    <t>Conc (mg/mL):</t>
  </si>
  <si>
    <t xml:space="preserve">The amount  of </t>
  </si>
  <si>
    <t xml:space="preserve">dissolved as a percentage of the stated  label claim is </t>
  </si>
  <si>
    <t>National Quality Control Laoboratory</t>
  </si>
  <si>
    <t>Laboratory Data Calculation Spreadsheet</t>
  </si>
  <si>
    <t>Initial Standard dilution volume (mL):</t>
  </si>
  <si>
    <t xml:space="preserve">Std Response Deviation 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</si>
  <si>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</si>
  <si>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</si>
  <si>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</si>
  <si>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</si>
  <si>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</si>
  <si>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</si>
  <si>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</si>
  <si>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Capsule No.</t>
  </si>
  <si>
    <t>Levofloxacin tablets</t>
  </si>
  <si>
    <t>LEVOFLOXACIN</t>
  </si>
  <si>
    <t>Levofloxacin Hemihydrate U.S.P equivalent to Levofloxacin 750mg</t>
  </si>
  <si>
    <t>25-02-16</t>
  </si>
  <si>
    <t xml:space="preserve">Levofloxacin </t>
  </si>
  <si>
    <t>Levofloxacin</t>
  </si>
  <si>
    <t>L11-2</t>
  </si>
  <si>
    <t>NDQD201510437</t>
  </si>
  <si>
    <t>BACTAQUIN 500mg</t>
  </si>
  <si>
    <t xml:space="preserve"> Levofloxacin Hemihydrate U.S.P equivalent to Levofloxacin 500mg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</si>
</sst>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1" formatCode="dd\-mmm\-yyyy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Calibri"/>
    </font>
    <font>
      <b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6" fillId="2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2" fontId="17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5" xfId="0" applyFont="1" applyFill="1" applyBorder="1" applyAlignment="1">
      <alignment horizontal="right"/>
    </xf>
    <xf numFmtId="0" fontId="17" fillId="3" borderId="21" xfId="0" applyFont="1" applyFill="1" applyBorder="1" applyAlignment="1" applyProtection="1">
      <alignment horizontal="center"/>
      <protection locked="0"/>
    </xf>
    <xf numFmtId="0" fontId="11" fillId="2" borderId="26" xfId="0" applyFont="1" applyFill="1" applyBorder="1" applyAlignment="1">
      <alignment horizontal="right"/>
    </xf>
    <xf numFmtId="0" fontId="17" fillId="3" borderId="22" xfId="0" applyFont="1" applyFill="1" applyBorder="1" applyAlignment="1" applyProtection="1">
      <alignment horizontal="center"/>
      <protection locked="0"/>
    </xf>
    <xf numFmtId="0" fontId="13" fillId="2" borderId="21" xfId="0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7" fillId="3" borderId="44" xfId="0" applyFont="1" applyFill="1" applyBorder="1" applyAlignment="1" applyProtection="1">
      <alignment horizontal="center"/>
      <protection locked="0"/>
    </xf>
    <xf numFmtId="168" fontId="11" fillId="2" borderId="28" xfId="0" applyNumberFormat="1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0" fontId="14" fillId="2" borderId="13" xfId="0" applyFont="1" applyFill="1" applyBorder="1"/>
    <xf numFmtId="0" fontId="11" fillId="2" borderId="22" xfId="0" applyFont="1" applyFill="1" applyBorder="1" applyAlignment="1">
      <alignment horizontal="center"/>
    </xf>
    <xf numFmtId="0" fontId="17" fillId="3" borderId="26" xfId="0" applyFont="1" applyFill="1" applyBorder="1" applyAlignment="1" applyProtection="1">
      <alignment horizontal="center"/>
      <protection locked="0"/>
    </xf>
    <xf numFmtId="168" fontId="11" fillId="2" borderId="45" xfId="0" applyNumberFormat="1" applyFont="1" applyFill="1" applyBorder="1" applyAlignment="1">
      <alignment horizontal="center"/>
    </xf>
    <xf numFmtId="168" fontId="11" fillId="2" borderId="4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7" fillId="3" borderId="47" xfId="0" applyFont="1" applyFill="1" applyBorder="1" applyAlignment="1" applyProtection="1">
      <alignment horizontal="center"/>
      <protection locked="0"/>
    </xf>
    <xf numFmtId="168" fontId="11" fillId="2" borderId="48" xfId="0" applyNumberFormat="1" applyFont="1" applyFill="1" applyBorder="1" applyAlignment="1">
      <alignment horizontal="center"/>
    </xf>
    <xf numFmtId="168" fontId="11" fillId="2" borderId="49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2" xfId="0" applyFont="1" applyFill="1" applyBorder="1" applyAlignment="1">
      <alignment horizontal="right"/>
    </xf>
    <xf numFmtId="1" fontId="13" fillId="6" borderId="55" xfId="0" applyNumberFormat="1" applyFont="1" applyFill="1" applyBorder="1" applyAlignment="1">
      <alignment horizontal="center"/>
    </xf>
    <xf numFmtId="168" fontId="13" fillId="6" borderId="33" xfId="0" applyNumberFormat="1" applyFont="1" applyFill="1" applyBorder="1" applyAlignment="1">
      <alignment horizontal="center"/>
    </xf>
    <xf numFmtId="168" fontId="13" fillId="6" borderId="3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7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166" fontId="17" fillId="3" borderId="39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4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8" fontId="13" fillId="7" borderId="13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0" fontId="11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7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7" fillId="3" borderId="25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7" fillId="3" borderId="26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7" fillId="3" borderId="40" xfId="0" applyFont="1" applyFill="1" applyBorder="1" applyAlignment="1" applyProtection="1">
      <alignment horizontal="center"/>
      <protection locked="0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/>
    </xf>
    <xf numFmtId="2" fontId="16" fillId="2" borderId="2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39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7" fillId="3" borderId="0" xfId="0" applyFont="1" applyFill="1" applyAlignment="1" applyProtection="1">
      <alignment horizontal="center"/>
      <protection locked="0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8" fontId="17" fillId="3" borderId="47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3" fillId="6" borderId="31" xfId="0" applyNumberFormat="1" applyFont="1" applyFill="1" applyBorder="1" applyAlignment="1">
      <alignment horizontal="center"/>
    </xf>
    <xf numFmtId="1" fontId="13" fillId="6" borderId="34" xfId="0" applyNumberFormat="1" applyFont="1" applyFill="1" applyBorder="1" applyAlignment="1">
      <alignment horizontal="center"/>
    </xf>
    <xf numFmtId="168" fontId="13" fillId="6" borderId="15" xfId="0" applyNumberFormat="1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7" fillId="3" borderId="36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8" xfId="0" applyNumberFormat="1" applyFont="1" applyFill="1" applyBorder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 applyAlignment="1">
      <alignment horizontal="center"/>
    </xf>
    <xf numFmtId="0" fontId="11" fillId="2" borderId="27" xfId="0" applyFont="1" applyFill="1" applyBorder="1" applyAlignment="1">
      <alignment horizontal="right"/>
    </xf>
    <xf numFmtId="2" fontId="11" fillId="7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68" fontId="13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3" fillId="6" borderId="39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50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 wrapText="1"/>
    </xf>
    <xf numFmtId="0" fontId="11" fillId="2" borderId="26" xfId="0" applyFont="1" applyFill="1" applyBorder="1" applyAlignment="1">
      <alignment horizontal="center"/>
    </xf>
    <xf numFmtId="10" fontId="11" fillId="2" borderId="29" xfId="0" applyNumberFormat="1" applyFont="1" applyFill="1" applyBorder="1" applyAlignment="1">
      <alignment horizontal="center"/>
    </xf>
    <xf numFmtId="10" fontId="11" fillId="2" borderId="46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11" fillId="2" borderId="2" xfId="0" applyNumberFormat="1" applyFont="1" applyFill="1" applyBorder="1" applyAlignment="1">
      <alignment horizontal="right"/>
    </xf>
    <xf numFmtId="10" fontId="17" fillId="7" borderId="38" xfId="0" applyNumberFormat="1" applyFont="1" applyFill="1" applyBorder="1" applyAlignment="1">
      <alignment horizontal="center"/>
    </xf>
    <xf numFmtId="0" fontId="11" fillId="2" borderId="26" xfId="0" applyFont="1" applyFill="1" applyBorder="1"/>
    <xf numFmtId="0" fontId="11" fillId="2" borderId="6" xfId="0" applyFont="1" applyFill="1" applyBorder="1"/>
    <xf numFmtId="10" fontId="17" fillId="6" borderId="38" xfId="0" applyNumberFormat="1" applyFont="1" applyFill="1" applyBorder="1" applyAlignment="1">
      <alignment horizontal="center"/>
    </xf>
    <xf numFmtId="0" fontId="11" fillId="2" borderId="40" xfId="0" applyFont="1" applyFill="1" applyBorder="1"/>
    <xf numFmtId="0" fontId="11" fillId="2" borderId="5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0" fontId="17" fillId="7" borderId="1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6" fillId="2" borderId="0" xfId="0" applyFont="1" applyFill="1" applyProtection="1">
      <protection locked="0"/>
    </xf>
    <xf numFmtId="166" fontId="11" fillId="2" borderId="2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66" fontId="11" fillId="2" borderId="28" xfId="0" applyNumberFormat="1" applyFont="1" applyFill="1" applyBorder="1" applyAlignment="1">
      <alignment horizontal="center"/>
    </xf>
    <xf numFmtId="166" fontId="11" fillId="2" borderId="45" xfId="0" applyNumberFormat="1" applyFont="1" applyFill="1" applyBorder="1" applyAlignment="1">
      <alignment horizontal="center"/>
    </xf>
    <xf numFmtId="166" fontId="11" fillId="2" borderId="48" xfId="0" applyNumberFormat="1" applyFont="1" applyFill="1" applyBorder="1" applyAlignment="1">
      <alignment horizontal="center"/>
    </xf>
    <xf numFmtId="168" fontId="17" fillId="3" borderId="45" xfId="0" applyNumberFormat="1" applyFont="1" applyFill="1" applyBorder="1" applyAlignment="1" applyProtection="1">
      <alignment horizontal="center"/>
      <protection locked="0"/>
    </xf>
    <xf numFmtId="168" fontId="17" fillId="3" borderId="48" xfId="0" applyNumberFormat="1" applyFont="1" applyFill="1" applyBorder="1" applyAlignment="1" applyProtection="1">
      <alignment horizontal="center"/>
      <protection locked="0"/>
    </xf>
    <xf numFmtId="22" fontId="6" fillId="2" borderId="0" xfId="0" applyNumberFormat="1" applyFont="1" applyFill="1"/>
    <xf numFmtId="166" fontId="0" fillId="2" borderId="0" xfId="0" applyNumberFormat="1" applyFill="1"/>
    <xf numFmtId="168" fontId="11" fillId="7" borderId="38" xfId="0" applyNumberFormat="1" applyFont="1" applyFill="1" applyBorder="1" applyAlignment="1">
      <alignment horizontal="center"/>
    </xf>
    <xf numFmtId="10" fontId="17" fillId="7" borderId="22" xfId="0" applyNumberFormat="1" applyFont="1" applyFill="1" applyBorder="1" applyAlignment="1">
      <alignment horizontal="center"/>
    </xf>
    <xf numFmtId="0" fontId="17" fillId="7" borderId="23" xfId="0" applyFont="1" applyFill="1" applyBorder="1" applyAlignment="1">
      <alignment horizontal="center"/>
    </xf>
    <xf numFmtId="10" fontId="17" fillId="6" borderId="58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5" fillId="2" borderId="25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40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42" xfId="0" applyFont="1" applyFill="1" applyBorder="1" applyAlignment="1">
      <alignment horizontal="center"/>
    </xf>
    <xf numFmtId="0" fontId="13" fillId="2" borderId="56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7" fillId="3" borderId="0" xfId="0" applyFont="1" applyFill="1" applyAlignment="1" applyProtection="1">
      <alignment horizontal="left"/>
      <protection locked="0"/>
    </xf>
    <xf numFmtId="0" fontId="13" fillId="2" borderId="9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/>
      <protection locked="0"/>
    </xf>
    <xf numFmtId="0" fontId="13" fillId="2" borderId="43" xfId="0" applyFont="1" applyFill="1" applyBorder="1" applyAlignment="1">
      <alignment horizontal="center"/>
    </xf>
    <xf numFmtId="0" fontId="17" fillId="3" borderId="0" xfId="0" applyFont="1" applyFill="1" applyAlignment="1" applyProtection="1">
      <alignment horizontal="left" wrapText="1"/>
      <protection locked="0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C20" sqref="C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128</v>
      </c>
      <c r="D17" s="9"/>
      <c r="E17" s="10"/>
    </row>
    <row r="18" spans="1:6" ht="16.5" customHeight="1" x14ac:dyDescent="0.3">
      <c r="A18" s="11" t="s">
        <v>4</v>
      </c>
      <c r="B18" s="8" t="s">
        <v>120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99.9</v>
      </c>
      <c r="C19" s="10"/>
      <c r="D19" s="10"/>
      <c r="E19" s="10"/>
    </row>
    <row r="20" spans="1:6" ht="16.5" customHeight="1" x14ac:dyDescent="0.3">
      <c r="A20" s="7" t="s">
        <v>6</v>
      </c>
      <c r="B20" s="12">
        <v>19.77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B20/100*5/100</f>
        <v>9.8849999999999997E-3</v>
      </c>
      <c r="C21" s="10"/>
      <c r="D21" s="10"/>
      <c r="E21" s="10"/>
    </row>
    <row r="22" spans="1:6" ht="15.75" customHeight="1" x14ac:dyDescent="0.25">
      <c r="A22" s="10"/>
      <c r="B22" s="277">
        <v>42425.482164351852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5583642</v>
      </c>
      <c r="C24" s="18">
        <v>10422.6</v>
      </c>
      <c r="D24" s="19">
        <v>1</v>
      </c>
      <c r="E24" s="20">
        <v>8.6999999999999993</v>
      </c>
    </row>
    <row r="25" spans="1:6" ht="16.5" customHeight="1" x14ac:dyDescent="0.3">
      <c r="A25" s="17">
        <v>2</v>
      </c>
      <c r="B25" s="18">
        <v>5559505</v>
      </c>
      <c r="C25" s="18">
        <v>10433</v>
      </c>
      <c r="D25" s="19">
        <v>1</v>
      </c>
      <c r="E25" s="19">
        <v>8.6999999999999993</v>
      </c>
    </row>
    <row r="26" spans="1:6" ht="16.5" customHeight="1" x14ac:dyDescent="0.3">
      <c r="A26" s="17">
        <v>3</v>
      </c>
      <c r="B26" s="18">
        <v>5540896</v>
      </c>
      <c r="C26" s="18">
        <v>10420</v>
      </c>
      <c r="D26" s="19">
        <v>1</v>
      </c>
      <c r="E26" s="19">
        <v>8.6999999999999993</v>
      </c>
    </row>
    <row r="27" spans="1:6" ht="16.5" customHeight="1" x14ac:dyDescent="0.3">
      <c r="A27" s="17">
        <v>4</v>
      </c>
      <c r="B27" s="18">
        <v>5517311</v>
      </c>
      <c r="C27" s="18">
        <v>10476.9</v>
      </c>
      <c r="D27" s="19">
        <v>1</v>
      </c>
      <c r="E27" s="19">
        <v>8.6999999999999993</v>
      </c>
    </row>
    <row r="28" spans="1:6" ht="16.5" customHeight="1" x14ac:dyDescent="0.3">
      <c r="A28" s="17">
        <v>5</v>
      </c>
      <c r="B28" s="18">
        <v>5518154</v>
      </c>
      <c r="C28" s="18">
        <v>10440.700000000001</v>
      </c>
      <c r="D28" s="19">
        <v>1</v>
      </c>
      <c r="E28" s="19">
        <v>8.6999999999999993</v>
      </c>
    </row>
    <row r="29" spans="1:6" ht="16.5" customHeight="1" x14ac:dyDescent="0.3">
      <c r="A29" s="17">
        <v>6</v>
      </c>
      <c r="B29" s="21">
        <v>5501013</v>
      </c>
      <c r="C29" s="21">
        <v>10483</v>
      </c>
      <c r="D29" s="22">
        <v>1</v>
      </c>
      <c r="E29" s="22">
        <v>8.6999999999999993</v>
      </c>
    </row>
    <row r="30" spans="1:6" ht="16.5" customHeight="1" x14ac:dyDescent="0.3">
      <c r="A30" s="23" t="s">
        <v>13</v>
      </c>
      <c r="B30" s="24">
        <f>AVERAGE(B24:B29)</f>
        <v>5536753.5</v>
      </c>
      <c r="C30" s="25">
        <f>AVERAGE(C24:C29)</f>
        <v>10446.033333333333</v>
      </c>
      <c r="D30" s="26">
        <f>AVERAGE(D24:D29)</f>
        <v>1</v>
      </c>
      <c r="E30" s="26">
        <f>AVERAGE(E24:E29)</f>
        <v>8.7000000000000011</v>
      </c>
    </row>
    <row r="31" spans="1:6" ht="16.5" customHeight="1" x14ac:dyDescent="0.3">
      <c r="A31" s="27" t="s">
        <v>14</v>
      </c>
      <c r="B31" s="28">
        <f>(STDEV(B24:B29)/B30)</f>
        <v>5.5578153981354905E-3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21</v>
      </c>
      <c r="C59" s="284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32.2851562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26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27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28</v>
      </c>
      <c r="B14" s="292"/>
      <c r="C14" s="60" t="s">
        <v>128</v>
      </c>
    </row>
    <row r="15" spans="1:7" ht="16.5" customHeight="1" x14ac:dyDescent="0.3">
      <c r="A15" s="292" t="s">
        <v>29</v>
      </c>
      <c r="B15" s="292"/>
      <c r="C15" s="60" t="s">
        <v>127</v>
      </c>
    </row>
    <row r="16" spans="1:7" ht="16.5" customHeight="1" x14ac:dyDescent="0.3">
      <c r="A16" s="292" t="s">
        <v>30</v>
      </c>
      <c r="B16" s="292"/>
      <c r="C16" s="60" t="s">
        <v>121</v>
      </c>
    </row>
    <row r="17" spans="1:5" ht="16.5" customHeight="1" x14ac:dyDescent="0.3">
      <c r="A17" s="292" t="s">
        <v>31</v>
      </c>
      <c r="B17" s="292"/>
      <c r="C17" s="60" t="s">
        <v>122</v>
      </c>
    </row>
    <row r="18" spans="1:5" ht="16.5" customHeight="1" x14ac:dyDescent="0.3">
      <c r="A18" s="292" t="s">
        <v>32</v>
      </c>
      <c r="B18" s="292"/>
      <c r="C18" s="97">
        <v>42424</v>
      </c>
    </row>
    <row r="19" spans="1:5" ht="16.5" customHeight="1" x14ac:dyDescent="0.3">
      <c r="A19" s="292" t="s">
        <v>33</v>
      </c>
      <c r="B19" s="292"/>
      <c r="C19" s="97" t="s">
        <v>123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34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35</v>
      </c>
      <c r="D23" s="85" t="s">
        <v>36</v>
      </c>
      <c r="E23" s="52"/>
    </row>
    <row r="24" spans="1:5" ht="15.75" customHeight="1" x14ac:dyDescent="0.3">
      <c r="C24" s="95">
        <v>750.98</v>
      </c>
      <c r="D24" s="87">
        <f t="shared" ref="D24:D43" si="0">(C24-$C$46)/$C$46</f>
        <v>-3.0999174843500753E-2</v>
      </c>
      <c r="E24" s="53"/>
    </row>
    <row r="25" spans="1:5" ht="15.75" customHeight="1" x14ac:dyDescent="0.3">
      <c r="C25" s="95">
        <v>794.97</v>
      </c>
      <c r="D25" s="88">
        <f t="shared" si="0"/>
        <v>2.5761785899307856E-2</v>
      </c>
      <c r="E25" s="53"/>
    </row>
    <row r="26" spans="1:5" ht="15.75" customHeight="1" x14ac:dyDescent="0.3">
      <c r="C26" s="95">
        <v>794</v>
      </c>
      <c r="D26" s="88">
        <f t="shared" si="0"/>
        <v>2.4510180263469579E-2</v>
      </c>
      <c r="E26" s="53"/>
    </row>
    <row r="27" spans="1:5" ht="15.75" customHeight="1" x14ac:dyDescent="0.3">
      <c r="C27" s="95">
        <v>768.33</v>
      </c>
      <c r="D27" s="88">
        <f t="shared" si="0"/>
        <v>-8.6122080581465706E-3</v>
      </c>
      <c r="E27" s="53"/>
    </row>
    <row r="28" spans="1:5" ht="15.75" customHeight="1" x14ac:dyDescent="0.3">
      <c r="C28" s="95">
        <v>797.17</v>
      </c>
      <c r="D28" s="88">
        <f t="shared" si="0"/>
        <v>2.8600479093992447E-2</v>
      </c>
      <c r="E28" s="53"/>
    </row>
    <row r="29" spans="1:5" ht="15.75" customHeight="1" x14ac:dyDescent="0.3">
      <c r="C29" s="95">
        <v>762.29</v>
      </c>
      <c r="D29" s="88">
        <f t="shared" si="0"/>
        <v>-1.6405711192644598E-2</v>
      </c>
      <c r="E29" s="53"/>
    </row>
    <row r="30" spans="1:5" ht="15.75" customHeight="1" x14ac:dyDescent="0.3">
      <c r="C30" s="95">
        <v>792.31</v>
      </c>
      <c r="D30" s="88">
        <f t="shared" si="0"/>
        <v>2.2329547763916279E-2</v>
      </c>
      <c r="E30" s="53"/>
    </row>
    <row r="31" spans="1:5" ht="15.75" customHeight="1" x14ac:dyDescent="0.3">
      <c r="C31" s="95">
        <v>756.54</v>
      </c>
      <c r="D31" s="88">
        <f t="shared" si="0"/>
        <v>-2.3825022951479549E-2</v>
      </c>
      <c r="E31" s="53"/>
    </row>
    <row r="32" spans="1:5" ht="15.75" customHeight="1" x14ac:dyDescent="0.3">
      <c r="C32" s="95">
        <v>748.79</v>
      </c>
      <c r="D32" s="88">
        <f t="shared" si="0"/>
        <v>-3.3824964887300565E-2</v>
      </c>
      <c r="E32" s="53"/>
    </row>
    <row r="33" spans="1:7" ht="15.75" customHeight="1" x14ac:dyDescent="0.3">
      <c r="C33" s="95">
        <v>788</v>
      </c>
      <c r="D33" s="88">
        <f t="shared" si="0"/>
        <v>1.676828973251137E-2</v>
      </c>
      <c r="E33" s="53"/>
    </row>
    <row r="34" spans="1:7" ht="15.75" customHeight="1" x14ac:dyDescent="0.3">
      <c r="C34" s="95">
        <v>793.38</v>
      </c>
      <c r="D34" s="88">
        <f t="shared" si="0"/>
        <v>2.3710184908603892E-2</v>
      </c>
      <c r="E34" s="53"/>
    </row>
    <row r="35" spans="1:7" ht="15.75" customHeight="1" x14ac:dyDescent="0.3">
      <c r="C35" s="95">
        <v>780.73</v>
      </c>
      <c r="D35" s="88">
        <f t="shared" si="0"/>
        <v>7.3876990391670309E-3</v>
      </c>
      <c r="E35" s="53"/>
    </row>
    <row r="36" spans="1:7" ht="15.75" customHeight="1" x14ac:dyDescent="0.3">
      <c r="C36" s="95">
        <v>762.45</v>
      </c>
      <c r="D36" s="88">
        <f t="shared" si="0"/>
        <v>-1.6199260778485609E-2</v>
      </c>
      <c r="E36" s="53"/>
    </row>
    <row r="37" spans="1:7" ht="15.75" customHeight="1" x14ac:dyDescent="0.3">
      <c r="C37" s="95">
        <v>755.94</v>
      </c>
      <c r="D37" s="88">
        <f t="shared" si="0"/>
        <v>-2.4599212004575252E-2</v>
      </c>
      <c r="E37" s="53"/>
    </row>
    <row r="38" spans="1:7" ht="15.75" customHeight="1" x14ac:dyDescent="0.3">
      <c r="C38" s="95">
        <v>776.03</v>
      </c>
      <c r="D38" s="88">
        <f t="shared" si="0"/>
        <v>1.3232181232497092E-3</v>
      </c>
      <c r="E38" s="53"/>
    </row>
    <row r="39" spans="1:7" ht="15.75" customHeight="1" x14ac:dyDescent="0.3">
      <c r="C39" s="95">
        <v>762.9</v>
      </c>
      <c r="D39" s="88">
        <f t="shared" si="0"/>
        <v>-1.561861898866383E-2</v>
      </c>
      <c r="E39" s="53"/>
    </row>
    <row r="40" spans="1:7" ht="15.75" customHeight="1" x14ac:dyDescent="0.3">
      <c r="C40" s="95">
        <v>800.38</v>
      </c>
      <c r="D40" s="88">
        <f t="shared" si="0"/>
        <v>3.2742390528055137E-2</v>
      </c>
      <c r="E40" s="53"/>
    </row>
    <row r="41" spans="1:7" ht="15.75" customHeight="1" x14ac:dyDescent="0.3">
      <c r="C41" s="95">
        <v>772.73</v>
      </c>
      <c r="D41" s="88">
        <f t="shared" si="0"/>
        <v>-2.9348216687772469E-3</v>
      </c>
      <c r="E41" s="53"/>
    </row>
    <row r="42" spans="1:7" ht="15.75" customHeight="1" x14ac:dyDescent="0.3">
      <c r="C42" s="95">
        <v>780.78</v>
      </c>
      <c r="D42" s="88">
        <f t="shared" si="0"/>
        <v>7.4522147935916242E-3</v>
      </c>
      <c r="E42" s="53"/>
    </row>
    <row r="43" spans="1:7" ht="16.5" customHeight="1" x14ac:dyDescent="0.3">
      <c r="C43" s="96">
        <v>761.39</v>
      </c>
      <c r="D43" s="89">
        <f t="shared" si="0"/>
        <v>-1.7566994772288302E-2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37</v>
      </c>
      <c r="C45" s="83">
        <f>SUM(C24:C44)</f>
        <v>15500.089999999998</v>
      </c>
      <c r="D45" s="78"/>
      <c r="E45" s="54"/>
    </row>
    <row r="46" spans="1:7" ht="17.25" customHeight="1" x14ac:dyDescent="0.3">
      <c r="B46" s="82" t="s">
        <v>38</v>
      </c>
      <c r="C46" s="84">
        <f>AVERAGE(C24:C44)</f>
        <v>775.00449999999989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38</v>
      </c>
      <c r="C48" s="85" t="s">
        <v>39</v>
      </c>
      <c r="D48" s="80"/>
      <c r="G48" s="58"/>
    </row>
    <row r="49" spans="1:6" ht="17.25" customHeight="1" x14ac:dyDescent="0.3">
      <c r="B49" s="285">
        <f>C46</f>
        <v>775.00449999999989</v>
      </c>
      <c r="C49" s="93">
        <f>-IF(C46&lt;=80,10%,IF(C46&lt;250,7.5%,5%))</f>
        <v>-0.05</v>
      </c>
      <c r="D49" s="81">
        <f>IF(C46&lt;=80,C46*0.9,IF(C46&lt;250,C46*0.925,C46*0.95))</f>
        <v>736.25427499999989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813.75472499999989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71"/>
      <c r="C53" s="72"/>
      <c r="D53" s="71"/>
      <c r="E53" s="61"/>
      <c r="F53" s="73"/>
    </row>
    <row r="54" spans="1:6" ht="34.5" customHeight="1" x14ac:dyDescent="0.3">
      <c r="A54" s="70" t="s">
        <v>25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zoomScale="60" zoomScaleNormal="60" zoomScaleSheetLayoutView="50" workbookViewId="0">
      <selection activeCell="C19" sqref="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3" t="s">
        <v>108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109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">
      <c r="A15" s="98"/>
    </row>
    <row r="16" spans="1:9" ht="19.5" customHeight="1" x14ac:dyDescent="0.3">
      <c r="A16" s="327" t="s">
        <v>26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40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100" t="s">
        <v>28</v>
      </c>
      <c r="B18" s="326" t="s">
        <v>128</v>
      </c>
      <c r="C18" s="326"/>
      <c r="D18" s="264"/>
      <c r="E18" s="101"/>
      <c r="F18" s="102"/>
      <c r="G18" s="102"/>
      <c r="H18" s="102"/>
    </row>
    <row r="19" spans="1:14" ht="26.25" customHeight="1" x14ac:dyDescent="0.4">
      <c r="A19" s="100" t="s">
        <v>29</v>
      </c>
      <c r="B19" s="103" t="s">
        <v>127</v>
      </c>
      <c r="C19" s="266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30</v>
      </c>
      <c r="B20" s="331" t="s">
        <v>124</v>
      </c>
      <c r="C20" s="331"/>
      <c r="D20" s="102"/>
      <c r="E20" s="102"/>
      <c r="F20" s="102"/>
      <c r="G20" s="102"/>
      <c r="H20" s="102"/>
    </row>
    <row r="21" spans="1:14" ht="26.25" customHeight="1" x14ac:dyDescent="0.4">
      <c r="A21" s="100" t="s">
        <v>31</v>
      </c>
      <c r="B21" s="331" t="s">
        <v>129</v>
      </c>
      <c r="C21" s="331"/>
      <c r="D21" s="331"/>
      <c r="E21" s="331"/>
      <c r="F21" s="331"/>
      <c r="G21" s="331"/>
      <c r="H21" s="331"/>
      <c r="I21" s="104"/>
    </row>
    <row r="22" spans="1:14" ht="26.25" customHeight="1" x14ac:dyDescent="0.4">
      <c r="A22" s="100" t="s">
        <v>32</v>
      </c>
      <c r="B22" s="105">
        <v>42424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33</v>
      </c>
      <c r="B23" s="105">
        <v>42425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6" t="s">
        <v>125</v>
      </c>
      <c r="C26" s="326"/>
    </row>
    <row r="27" spans="1:14" ht="26.25" customHeight="1" x14ac:dyDescent="0.4">
      <c r="A27" s="109" t="s">
        <v>41</v>
      </c>
      <c r="B27" s="324" t="s">
        <v>126</v>
      </c>
      <c r="C27" s="324"/>
    </row>
    <row r="28" spans="1:14" ht="27" customHeight="1" x14ac:dyDescent="0.4">
      <c r="A28" s="109" t="s">
        <v>5</v>
      </c>
      <c r="B28" s="110">
        <v>99.9</v>
      </c>
    </row>
    <row r="29" spans="1:14" s="14" customFormat="1" ht="27" customHeight="1" x14ac:dyDescent="0.4">
      <c r="A29" s="109" t="s">
        <v>42</v>
      </c>
      <c r="B29" s="111">
        <v>0</v>
      </c>
      <c r="C29" s="301" t="s">
        <v>101</v>
      </c>
      <c r="D29" s="302"/>
      <c r="E29" s="302"/>
      <c r="F29" s="302"/>
      <c r="G29" s="303"/>
      <c r="I29" s="112"/>
      <c r="J29" s="112"/>
      <c r="K29" s="112"/>
      <c r="L29" s="112"/>
    </row>
    <row r="30" spans="1:14" s="14" customFormat="1" ht="19.5" customHeight="1" x14ac:dyDescent="0.3">
      <c r="A30" s="109" t="s">
        <v>43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44</v>
      </c>
      <c r="B31" s="116">
        <v>1</v>
      </c>
      <c r="C31" s="304" t="s">
        <v>45</v>
      </c>
      <c r="D31" s="305"/>
      <c r="E31" s="305"/>
      <c r="F31" s="305"/>
      <c r="G31" s="305"/>
      <c r="H31" s="306"/>
      <c r="I31" s="112"/>
      <c r="J31" s="112"/>
      <c r="K31" s="112"/>
      <c r="L31" s="112"/>
    </row>
    <row r="32" spans="1:14" s="14" customFormat="1" ht="27" customHeight="1" x14ac:dyDescent="0.4">
      <c r="A32" s="109" t="s">
        <v>46</v>
      </c>
      <c r="B32" s="116">
        <v>1</v>
      </c>
      <c r="C32" s="304" t="s">
        <v>47</v>
      </c>
      <c r="D32" s="305"/>
      <c r="E32" s="305"/>
      <c r="F32" s="305"/>
      <c r="G32" s="305"/>
      <c r="H32" s="30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48</v>
      </c>
      <c r="B34" s="121">
        <f>B31/B32</f>
        <v>1</v>
      </c>
      <c r="C34" s="99" t="s">
        <v>49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110</v>
      </c>
      <c r="B36" s="123">
        <v>100</v>
      </c>
      <c r="C36" s="99"/>
      <c r="D36" s="307" t="s">
        <v>50</v>
      </c>
      <c r="E36" s="325"/>
      <c r="F36" s="307" t="s">
        <v>51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52</v>
      </c>
      <c r="B37" s="125">
        <v>5</v>
      </c>
      <c r="C37" s="126" t="s">
        <v>53</v>
      </c>
      <c r="D37" s="127" t="s">
        <v>54</v>
      </c>
      <c r="E37" s="128" t="s">
        <v>55</v>
      </c>
      <c r="F37" s="127" t="s">
        <v>54</v>
      </c>
      <c r="G37" s="129" t="s">
        <v>55</v>
      </c>
      <c r="I37" s="130" t="s">
        <v>111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56</v>
      </c>
      <c r="B38" s="125">
        <v>100</v>
      </c>
      <c r="C38" s="131">
        <v>1</v>
      </c>
      <c r="D38" s="132">
        <v>5492435</v>
      </c>
      <c r="E38" s="133">
        <f>IF(ISBLANK(D38),"-",$D$48/$D$45*D38)</f>
        <v>5561894.7222386766</v>
      </c>
      <c r="F38" s="132">
        <v>5637258</v>
      </c>
      <c r="G38" s="134">
        <f>IF(ISBLANK(F38),"-",$D$48/$F$45*F38)</f>
        <v>5475886.3667160617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57</v>
      </c>
      <c r="B39" s="125">
        <v>1</v>
      </c>
      <c r="C39" s="136">
        <v>2</v>
      </c>
      <c r="D39" s="137">
        <v>5472181</v>
      </c>
      <c r="E39" s="138">
        <f>IF(ISBLANK(D39),"-",$D$48/$D$45*D39)</f>
        <v>5541384.5813441155</v>
      </c>
      <c r="F39" s="137">
        <v>5602764</v>
      </c>
      <c r="G39" s="139">
        <f>IF(ISBLANK(F39),"-",$D$48/$F$45*F39)</f>
        <v>5442379.7888135593</v>
      </c>
      <c r="I39" s="309">
        <f>ABS((F43/D43*D42)-F42)/D42</f>
        <v>1.8008798615094478E-2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58</v>
      </c>
      <c r="B40" s="125">
        <v>1</v>
      </c>
      <c r="C40" s="136">
        <v>3</v>
      </c>
      <c r="D40" s="137">
        <v>5511812</v>
      </c>
      <c r="E40" s="138">
        <f>IF(ISBLANK(D40),"-",$D$48/$D$45*D40)</f>
        <v>5581516.7722097402</v>
      </c>
      <c r="F40" s="137">
        <v>5639746</v>
      </c>
      <c r="G40" s="139">
        <f>IF(ISBLANK(F40),"-",$D$48/$F$45*F40)</f>
        <v>5478303.145455014</v>
      </c>
      <c r="I40" s="309"/>
      <c r="L40" s="117"/>
      <c r="M40" s="117"/>
      <c r="N40" s="140"/>
    </row>
    <row r="41" spans="1:14" ht="27" customHeight="1" x14ac:dyDescent="0.4">
      <c r="A41" s="124" t="s">
        <v>59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60</v>
      </c>
      <c r="B42" s="125">
        <v>1</v>
      </c>
      <c r="C42" s="146" t="s">
        <v>61</v>
      </c>
      <c r="D42" s="147">
        <f>AVERAGE(D38:D41)</f>
        <v>5492142.666666667</v>
      </c>
      <c r="E42" s="148">
        <f>AVERAGE(E38:E41)</f>
        <v>5561598.6919308444</v>
      </c>
      <c r="F42" s="147">
        <f>AVERAGE(F38:F41)</f>
        <v>5626589.333333333</v>
      </c>
      <c r="G42" s="149">
        <f>AVERAGE(G38:G41)</f>
        <v>5465523.1003282117</v>
      </c>
      <c r="H42" s="150"/>
    </row>
    <row r="43" spans="1:14" ht="26.25" customHeight="1" x14ac:dyDescent="0.4">
      <c r="A43" s="124" t="s">
        <v>62</v>
      </c>
      <c r="B43" s="125">
        <v>1</v>
      </c>
      <c r="C43" s="151" t="s">
        <v>63</v>
      </c>
      <c r="D43" s="152">
        <v>19.77</v>
      </c>
      <c r="E43" s="140"/>
      <c r="F43" s="152">
        <v>20.61</v>
      </c>
      <c r="H43" s="150"/>
    </row>
    <row r="44" spans="1:14" ht="26.25" customHeight="1" x14ac:dyDescent="0.4">
      <c r="A44" s="124" t="s">
        <v>64</v>
      </c>
      <c r="B44" s="125">
        <v>1</v>
      </c>
      <c r="C44" s="153" t="s">
        <v>65</v>
      </c>
      <c r="D44" s="154">
        <f>D43*$B$34</f>
        <v>19.77</v>
      </c>
      <c r="E44" s="155"/>
      <c r="F44" s="154">
        <f>F43*$B$34</f>
        <v>20.61</v>
      </c>
      <c r="H44" s="150"/>
    </row>
    <row r="45" spans="1:14" ht="19.5" customHeight="1" x14ac:dyDescent="0.3">
      <c r="A45" s="124" t="s">
        <v>66</v>
      </c>
      <c r="B45" s="156">
        <f>(B44/B43)*(B42/B41)*(B40/B39)*(B38/B37)*B36</f>
        <v>2000</v>
      </c>
      <c r="C45" s="153" t="s">
        <v>67</v>
      </c>
      <c r="D45" s="157">
        <f>D44*$B$30/100</f>
        <v>19.750230000000002</v>
      </c>
      <c r="E45" s="158"/>
      <c r="F45" s="157">
        <f>F44*$B$30/100</f>
        <v>20.589389999999998</v>
      </c>
      <c r="H45" s="150"/>
    </row>
    <row r="46" spans="1:14" ht="19.5" customHeight="1" x14ac:dyDescent="0.3">
      <c r="A46" s="295" t="s">
        <v>68</v>
      </c>
      <c r="B46" s="296"/>
      <c r="C46" s="153" t="s">
        <v>69</v>
      </c>
      <c r="D46" s="159">
        <f>D45/$B$45</f>
        <v>9.8751150000000003E-3</v>
      </c>
      <c r="E46" s="160"/>
      <c r="F46" s="161">
        <f>F45/$B$45</f>
        <v>1.0294695E-2</v>
      </c>
      <c r="H46" s="150"/>
    </row>
    <row r="47" spans="1:14" ht="27" customHeight="1" x14ac:dyDescent="0.4">
      <c r="A47" s="297"/>
      <c r="B47" s="298"/>
      <c r="C47" s="162" t="s">
        <v>112</v>
      </c>
      <c r="D47" s="163">
        <v>0.01</v>
      </c>
      <c r="E47" s="164"/>
      <c r="F47" s="160"/>
      <c r="H47" s="150"/>
    </row>
    <row r="48" spans="1:14" ht="18.75" x14ac:dyDescent="0.3">
      <c r="C48" s="165" t="s">
        <v>70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71</v>
      </c>
      <c r="D49" s="168">
        <f>D48/B34</f>
        <v>20</v>
      </c>
      <c r="F49" s="166"/>
      <c r="H49" s="150"/>
    </row>
    <row r="50" spans="1:12" ht="18.75" x14ac:dyDescent="0.3">
      <c r="C50" s="122" t="s">
        <v>72</v>
      </c>
      <c r="D50" s="169">
        <f>AVERAGE(E38:E41,G38:G41)</f>
        <v>5513560.8961295281</v>
      </c>
      <c r="F50" s="170"/>
      <c r="H50" s="150"/>
    </row>
    <row r="51" spans="1:12" ht="18.75" x14ac:dyDescent="0.3">
      <c r="C51" s="124" t="s">
        <v>73</v>
      </c>
      <c r="D51" s="171">
        <f>STDEV(E38:E41,G38:G41)/D50</f>
        <v>1.0084470568793694E-2</v>
      </c>
      <c r="F51" s="170"/>
      <c r="H51" s="150"/>
    </row>
    <row r="52" spans="1:12" ht="19.5" customHeight="1" x14ac:dyDescent="0.3">
      <c r="C52" s="172" t="s">
        <v>15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74</v>
      </c>
    </row>
    <row r="55" spans="1:12" ht="18.75" x14ac:dyDescent="0.3">
      <c r="A55" s="99" t="s">
        <v>75</v>
      </c>
      <c r="B55" s="176" t="str">
        <f>B21</f>
        <v xml:space="preserve"> Levofloxacin Hemihydrate U.S.P equivalent to Levofloxacin 500mg</v>
      </c>
    </row>
    <row r="56" spans="1:12" ht="26.25" customHeight="1" x14ac:dyDescent="0.4">
      <c r="A56" s="177" t="s">
        <v>76</v>
      </c>
      <c r="B56" s="178">
        <v>500</v>
      </c>
      <c r="C56" s="99" t="str">
        <f>B20</f>
        <v xml:space="preserve">Levofloxacin </v>
      </c>
      <c r="H56" s="179"/>
    </row>
    <row r="57" spans="1:12" ht="18.75" x14ac:dyDescent="0.3">
      <c r="A57" s="176" t="s">
        <v>77</v>
      </c>
      <c r="B57" s="265">
        <f>Uniformity!C46</f>
        <v>775.00449999999989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113</v>
      </c>
      <c r="B59" s="123">
        <v>200</v>
      </c>
      <c r="C59" s="99"/>
      <c r="D59" s="180" t="s">
        <v>78</v>
      </c>
      <c r="E59" s="181" t="s">
        <v>53</v>
      </c>
      <c r="F59" s="181" t="s">
        <v>54</v>
      </c>
      <c r="G59" s="181" t="s">
        <v>79</v>
      </c>
      <c r="H59" s="126" t="s">
        <v>80</v>
      </c>
      <c r="L59" s="112"/>
    </row>
    <row r="60" spans="1:12" s="14" customFormat="1" ht="26.25" customHeight="1" x14ac:dyDescent="0.4">
      <c r="A60" s="124" t="s">
        <v>114</v>
      </c>
      <c r="B60" s="125">
        <v>2</v>
      </c>
      <c r="C60" s="312" t="s">
        <v>82</v>
      </c>
      <c r="D60" s="315">
        <v>763.5</v>
      </c>
      <c r="E60" s="182">
        <v>1</v>
      </c>
      <c r="F60" s="183"/>
      <c r="G60" s="267" t="str">
        <f>IF(ISBLANK(F60),"-",(F60/$D$50*$D$47*$B$68)*($B$57/$D$60))</f>
        <v>-</v>
      </c>
      <c r="H60" s="184" t="str">
        <f t="shared" ref="H60:H71" si="0">IF(ISBLANK(F60),"-",G60/$B$56)</f>
        <v>-</v>
      </c>
      <c r="L60" s="112"/>
    </row>
    <row r="61" spans="1:12" s="14" customFormat="1" ht="26.25" customHeight="1" x14ac:dyDescent="0.4">
      <c r="A61" s="124" t="s">
        <v>83</v>
      </c>
      <c r="B61" s="125">
        <v>50</v>
      </c>
      <c r="C61" s="313"/>
      <c r="D61" s="316"/>
      <c r="E61" s="185">
        <v>2</v>
      </c>
      <c r="F61" s="137"/>
      <c r="G61" s="268" t="str">
        <f>IF(ISBLANK(F61),"-",(F61/$D$50*$D$47*$B$68)*($B$57/$D$60))</f>
        <v>-</v>
      </c>
      <c r="H61" s="186" t="str">
        <f t="shared" si="0"/>
        <v>-</v>
      </c>
      <c r="L61" s="112"/>
    </row>
    <row r="62" spans="1:12" s="14" customFormat="1" ht="26.25" customHeight="1" x14ac:dyDescent="0.4">
      <c r="A62" s="124" t="s">
        <v>84</v>
      </c>
      <c r="B62" s="125">
        <v>2</v>
      </c>
      <c r="C62" s="313"/>
      <c r="D62" s="316"/>
      <c r="E62" s="185">
        <v>3</v>
      </c>
      <c r="F62" s="187"/>
      <c r="G62" s="268" t="str">
        <f>IF(ISBLANK(F62),"-",(F62/$D$50*$D$47*$B$68)*($B$57/$D$60))</f>
        <v>-</v>
      </c>
      <c r="H62" s="186" t="str">
        <f t="shared" si="0"/>
        <v>-</v>
      </c>
      <c r="L62" s="112"/>
    </row>
    <row r="63" spans="1:12" ht="27" customHeight="1" x14ac:dyDescent="0.4">
      <c r="A63" s="124" t="s">
        <v>85</v>
      </c>
      <c r="B63" s="125">
        <v>20</v>
      </c>
      <c r="C63" s="323"/>
      <c r="D63" s="317"/>
      <c r="E63" s="188">
        <v>4</v>
      </c>
      <c r="F63" s="189"/>
      <c r="G63" s="268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86</v>
      </c>
      <c r="B64" s="125">
        <v>1</v>
      </c>
      <c r="C64" s="312" t="s">
        <v>87</v>
      </c>
      <c r="D64" s="315">
        <v>773.7</v>
      </c>
      <c r="E64" s="182">
        <v>1</v>
      </c>
      <c r="F64" s="183">
        <v>5405057</v>
      </c>
      <c r="G64" s="269">
        <f>IF(ISBLANK(F64),"-",(F64/$D$50*$D$47*$B$68)*($B$57/$D$64))</f>
        <v>490.98670714935736</v>
      </c>
      <c r="H64" s="190">
        <f t="shared" si="0"/>
        <v>0.98197341429871476</v>
      </c>
    </row>
    <row r="65" spans="1:8" ht="26.25" customHeight="1" x14ac:dyDescent="0.4">
      <c r="A65" s="124" t="s">
        <v>88</v>
      </c>
      <c r="B65" s="125">
        <v>1</v>
      </c>
      <c r="C65" s="313"/>
      <c r="D65" s="316"/>
      <c r="E65" s="185">
        <v>2</v>
      </c>
      <c r="F65" s="137">
        <v>5424362</v>
      </c>
      <c r="G65" s="270">
        <f>IF(ISBLANK(F65),"-",(F65/$D$50*$D$47*$B$68)*($B$57/$D$64))</f>
        <v>492.74034238049705</v>
      </c>
      <c r="H65" s="191">
        <f t="shared" si="0"/>
        <v>0.98548068476099415</v>
      </c>
    </row>
    <row r="66" spans="1:8" ht="26.25" customHeight="1" x14ac:dyDescent="0.4">
      <c r="A66" s="124" t="s">
        <v>89</v>
      </c>
      <c r="B66" s="125">
        <v>1</v>
      </c>
      <c r="C66" s="313"/>
      <c r="D66" s="316"/>
      <c r="E66" s="185">
        <v>3</v>
      </c>
      <c r="F66" s="137">
        <v>5391846</v>
      </c>
      <c r="G66" s="270">
        <f>IF(ISBLANK(F66),"-",(F66/$D$50*$D$47*$B$68)*($B$57/$D$64))</f>
        <v>489.78664110229255</v>
      </c>
      <c r="H66" s="191">
        <f t="shared" si="0"/>
        <v>0.97957328220458506</v>
      </c>
    </row>
    <row r="67" spans="1:8" ht="27" customHeight="1" x14ac:dyDescent="0.4">
      <c r="A67" s="124" t="s">
        <v>90</v>
      </c>
      <c r="B67" s="125">
        <v>1</v>
      </c>
      <c r="C67" s="323"/>
      <c r="D67" s="317"/>
      <c r="E67" s="188">
        <v>4</v>
      </c>
      <c r="F67" s="189"/>
      <c r="G67" s="27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91</v>
      </c>
      <c r="B68" s="193">
        <f>(B67/B66)*(B65/B64)*(B63/B62)*(B61/B60)*B59</f>
        <v>50000</v>
      </c>
      <c r="C68" s="312" t="s">
        <v>92</v>
      </c>
      <c r="D68" s="315">
        <v>777.13</v>
      </c>
      <c r="E68" s="182">
        <v>1</v>
      </c>
      <c r="F68" s="183">
        <v>5551940</v>
      </c>
      <c r="G68" s="269">
        <f>IF(ISBLANK(F68),"-",(F68/$D$50*$D$47*$B$68)*($B$57/$D$68))</f>
        <v>502.10337703063271</v>
      </c>
      <c r="H68" s="186">
        <f t="shared" si="0"/>
        <v>1.0042067540612654</v>
      </c>
    </row>
    <row r="69" spans="1:8" ht="27" customHeight="1" x14ac:dyDescent="0.4">
      <c r="A69" s="172" t="s">
        <v>115</v>
      </c>
      <c r="B69" s="194">
        <f>(D47*B68)/B56*B57</f>
        <v>775.00449999999989</v>
      </c>
      <c r="C69" s="313"/>
      <c r="D69" s="316"/>
      <c r="E69" s="185">
        <v>2</v>
      </c>
      <c r="F69" s="137">
        <v>5538788</v>
      </c>
      <c r="G69" s="270">
        <f>IF(ISBLANK(F69),"-",(F69/$D$50*$D$47*$B$68)*($B$57/$D$68))</f>
        <v>500.91394349664142</v>
      </c>
      <c r="H69" s="186">
        <f t="shared" si="0"/>
        <v>1.0018278869932828</v>
      </c>
    </row>
    <row r="70" spans="1:8" ht="26.25" customHeight="1" x14ac:dyDescent="0.4">
      <c r="A70" s="318" t="s">
        <v>68</v>
      </c>
      <c r="B70" s="319"/>
      <c r="C70" s="313"/>
      <c r="D70" s="316"/>
      <c r="E70" s="185">
        <v>3</v>
      </c>
      <c r="F70" s="137">
        <v>5535696</v>
      </c>
      <c r="G70" s="270">
        <f>IF(ISBLANK(F70),"-",(F70/$D$50*$D$47*$B$68)*($B$57/$D$68))</f>
        <v>500.63431085619891</v>
      </c>
      <c r="H70" s="186">
        <f t="shared" si="0"/>
        <v>1.0012686217123978</v>
      </c>
    </row>
    <row r="71" spans="1:8" ht="27" customHeight="1" x14ac:dyDescent="0.4">
      <c r="A71" s="320"/>
      <c r="B71" s="321"/>
      <c r="C71" s="314"/>
      <c r="D71" s="317"/>
      <c r="E71" s="188">
        <v>4</v>
      </c>
      <c r="F71" s="189"/>
      <c r="G71" s="271" t="str">
        <f>IF(ISBLANK(F71),"-",(F71/$D$50*$D$47*$B$68)*($B$57/$D$68))</f>
        <v>-</v>
      </c>
      <c r="H71" s="195" t="str">
        <f t="shared" si="0"/>
        <v>-</v>
      </c>
    </row>
    <row r="72" spans="1:8" ht="26.25" customHeight="1" thickBot="1" x14ac:dyDescent="0.45">
      <c r="A72" s="196"/>
      <c r="B72" s="196"/>
      <c r="C72" s="196"/>
      <c r="D72" s="196"/>
      <c r="E72" s="196"/>
      <c r="F72" s="197"/>
      <c r="G72" s="198" t="s">
        <v>61</v>
      </c>
      <c r="H72" s="280">
        <f>AVERAGE(H60:H71)</f>
        <v>0.99238844067187337</v>
      </c>
    </row>
    <row r="73" spans="1:8" ht="26.25" customHeight="1" thickBot="1" x14ac:dyDescent="0.45">
      <c r="C73" s="196"/>
      <c r="D73" s="196"/>
      <c r="E73" s="196"/>
      <c r="F73" s="197"/>
      <c r="G73" s="162" t="s">
        <v>73</v>
      </c>
      <c r="H73" s="282">
        <f>STDEV(H60:H70)</f>
        <v>1.12075996195147E-2</v>
      </c>
    </row>
    <row r="74" spans="1:8" ht="27" customHeight="1" thickBot="1" x14ac:dyDescent="0.45">
      <c r="A74" s="196"/>
      <c r="B74" s="196"/>
      <c r="C74" s="197"/>
      <c r="D74" s="197"/>
      <c r="E74" s="200"/>
      <c r="F74" s="197"/>
      <c r="G74" s="201" t="s">
        <v>15</v>
      </c>
      <c r="H74" s="281">
        <f>COUNT(H60:H71)</f>
        <v>6</v>
      </c>
    </row>
    <row r="76" spans="1:8" ht="26.25" customHeight="1" x14ac:dyDescent="0.4">
      <c r="A76" s="108" t="s">
        <v>116</v>
      </c>
      <c r="B76" s="202" t="s">
        <v>93</v>
      </c>
      <c r="C76" s="299" t="str">
        <f>B20</f>
        <v xml:space="preserve">Levofloxacin </v>
      </c>
      <c r="D76" s="299"/>
      <c r="E76" s="203" t="s">
        <v>94</v>
      </c>
      <c r="F76" s="203"/>
      <c r="G76" s="204">
        <f>H72</f>
        <v>0.99238844067187337</v>
      </c>
      <c r="H76" s="205"/>
    </row>
    <row r="77" spans="1:8" ht="18.75" x14ac:dyDescent="0.3">
      <c r="A77" s="107" t="s">
        <v>95</v>
      </c>
      <c r="B77" s="107" t="s">
        <v>96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2" t="str">
        <f>B26</f>
        <v>Levofloxacin</v>
      </c>
      <c r="C79" s="322"/>
    </row>
    <row r="80" spans="1:8" ht="26.25" customHeight="1" x14ac:dyDescent="0.4">
      <c r="A80" s="109" t="s">
        <v>41</v>
      </c>
      <c r="B80" s="322" t="s">
        <v>126</v>
      </c>
      <c r="C80" s="322"/>
    </row>
    <row r="81" spans="1:12" ht="27" customHeight="1" x14ac:dyDescent="0.4">
      <c r="A81" s="109" t="s">
        <v>5</v>
      </c>
      <c r="B81" s="206">
        <v>99.9</v>
      </c>
    </row>
    <row r="82" spans="1:12" s="14" customFormat="1" ht="27" customHeight="1" x14ac:dyDescent="0.4">
      <c r="A82" s="109" t="s">
        <v>42</v>
      </c>
      <c r="B82" s="111">
        <v>0</v>
      </c>
      <c r="C82" s="301" t="s">
        <v>101</v>
      </c>
      <c r="D82" s="302"/>
      <c r="E82" s="302"/>
      <c r="F82" s="302"/>
      <c r="G82" s="303"/>
      <c r="I82" s="112"/>
      <c r="J82" s="112"/>
      <c r="K82" s="112"/>
      <c r="L82" s="112"/>
    </row>
    <row r="83" spans="1:12" s="14" customFormat="1" ht="19.5" customHeight="1" x14ac:dyDescent="0.3">
      <c r="A83" s="109" t="s">
        <v>43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44</v>
      </c>
      <c r="B84" s="116">
        <v>1</v>
      </c>
      <c r="C84" s="304" t="s">
        <v>117</v>
      </c>
      <c r="D84" s="305"/>
      <c r="E84" s="305"/>
      <c r="F84" s="305"/>
      <c r="G84" s="305"/>
      <c r="H84" s="306"/>
      <c r="I84" s="112"/>
      <c r="J84" s="112"/>
      <c r="K84" s="112"/>
      <c r="L84" s="112"/>
    </row>
    <row r="85" spans="1:12" s="14" customFormat="1" ht="27" customHeight="1" x14ac:dyDescent="0.4">
      <c r="A85" s="109" t="s">
        <v>46</v>
      </c>
      <c r="B85" s="116">
        <v>1</v>
      </c>
      <c r="C85" s="304" t="s">
        <v>118</v>
      </c>
      <c r="D85" s="305"/>
      <c r="E85" s="305"/>
      <c r="F85" s="305"/>
      <c r="G85" s="305"/>
      <c r="H85" s="30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48</v>
      </c>
      <c r="B87" s="121">
        <f>B84/B85</f>
        <v>1</v>
      </c>
      <c r="C87" s="99" t="s">
        <v>49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110</v>
      </c>
      <c r="B89" s="123">
        <v>100</v>
      </c>
      <c r="D89" s="207" t="s">
        <v>50</v>
      </c>
      <c r="E89" s="208"/>
      <c r="F89" s="307" t="s">
        <v>51</v>
      </c>
      <c r="G89" s="308"/>
    </row>
    <row r="90" spans="1:12" ht="27" customHeight="1" x14ac:dyDescent="0.4">
      <c r="A90" s="124" t="s">
        <v>52</v>
      </c>
      <c r="B90" s="125">
        <v>2</v>
      </c>
      <c r="C90" s="209" t="s">
        <v>53</v>
      </c>
      <c r="D90" s="127" t="s">
        <v>54</v>
      </c>
      <c r="E90" s="128" t="s">
        <v>55</v>
      </c>
      <c r="F90" s="127" t="s">
        <v>54</v>
      </c>
      <c r="G90" s="210" t="s">
        <v>55</v>
      </c>
      <c r="I90" s="130" t="s">
        <v>111</v>
      </c>
    </row>
    <row r="91" spans="1:12" ht="26.25" customHeight="1" x14ac:dyDescent="0.4">
      <c r="A91" s="124" t="s">
        <v>56</v>
      </c>
      <c r="B91" s="125">
        <v>100</v>
      </c>
      <c r="C91" s="211">
        <v>1</v>
      </c>
      <c r="D91" s="132">
        <v>0.50480000000000003</v>
      </c>
      <c r="E91" s="133">
        <f>IF(ISBLANK(D91),"-",$D$101/$D$98*D91)</f>
        <v>0.51509205433772209</v>
      </c>
      <c r="F91" s="132">
        <v>0.50049999999999994</v>
      </c>
      <c r="G91" s="134">
        <f>IF(ISBLANK(F91),"-",$D$101/$F$98*F91)</f>
        <v>0.5309088671858011</v>
      </c>
      <c r="I91" s="135"/>
    </row>
    <row r="92" spans="1:12" ht="26.25" customHeight="1" x14ac:dyDescent="0.4">
      <c r="A92" s="124" t="s">
        <v>57</v>
      </c>
      <c r="B92" s="125">
        <v>1</v>
      </c>
      <c r="C92" s="197">
        <v>2</v>
      </c>
      <c r="D92" s="137">
        <v>0.50929999999999997</v>
      </c>
      <c r="E92" s="138">
        <f>IF(ISBLANK(D92),"-",$D$101/$D$98*D92)</f>
        <v>0.51968380204873577</v>
      </c>
      <c r="F92" s="137">
        <v>0.49980000000000002</v>
      </c>
      <c r="G92" s="139">
        <f>IF(ISBLANK(F92),"-",$D$101/$F$98*F92)</f>
        <v>0.53016633730162521</v>
      </c>
      <c r="I92" s="309">
        <f>ABS((F96/D96*D95)-F95)/D95</f>
        <v>2.2955623727588831E-2</v>
      </c>
    </row>
    <row r="93" spans="1:12" ht="26.25" customHeight="1" x14ac:dyDescent="0.4">
      <c r="A93" s="124" t="s">
        <v>58</v>
      </c>
      <c r="B93" s="125">
        <v>1</v>
      </c>
      <c r="C93" s="197">
        <v>3</v>
      </c>
      <c r="D93" s="137">
        <v>0.50900000000000001</v>
      </c>
      <c r="E93" s="138">
        <f>IF(ISBLANK(D93),"-",$D$101/$D$98*D93)</f>
        <v>0.51937768553466823</v>
      </c>
      <c r="F93" s="137">
        <v>0.49980000000000002</v>
      </c>
      <c r="G93" s="139">
        <f>IF(ISBLANK(F93),"-",$D$101/$F$98*F93)</f>
        <v>0.53016633730162521</v>
      </c>
      <c r="I93" s="309"/>
    </row>
    <row r="94" spans="1:12" ht="27" customHeight="1" x14ac:dyDescent="0.4">
      <c r="A94" s="124" t="s">
        <v>59</v>
      </c>
      <c r="B94" s="125">
        <v>1</v>
      </c>
      <c r="C94" s="212">
        <v>4</v>
      </c>
      <c r="D94" s="142"/>
      <c r="E94" s="143" t="str">
        <f>IF(ISBLANK(D94),"-",$D$101/$D$98*D94)</f>
        <v>-</v>
      </c>
      <c r="F94" s="213"/>
      <c r="G94" s="144" t="str">
        <f>IF(ISBLANK(F94),"-",$D$101/$F$98*F94)</f>
        <v>-</v>
      </c>
      <c r="I94" s="145"/>
    </row>
    <row r="95" spans="1:12" ht="27" customHeight="1" x14ac:dyDescent="0.4">
      <c r="A95" s="124" t="s">
        <v>60</v>
      </c>
      <c r="B95" s="125">
        <v>1</v>
      </c>
      <c r="C95" s="214" t="s">
        <v>61</v>
      </c>
      <c r="D95" s="215">
        <f>AVERAGE(D91:D94)</f>
        <v>0.50769999999999993</v>
      </c>
      <c r="E95" s="148">
        <f>AVERAGE(E91:E94)</f>
        <v>0.51805118064037536</v>
      </c>
      <c r="F95" s="216">
        <f>AVERAGE(F91:F94)</f>
        <v>0.50003333333333333</v>
      </c>
      <c r="G95" s="217">
        <f>AVERAGE(G91:G94)</f>
        <v>0.53041384726301721</v>
      </c>
    </row>
    <row r="96" spans="1:12" ht="26.25" customHeight="1" x14ac:dyDescent="0.4">
      <c r="A96" s="124" t="s">
        <v>62</v>
      </c>
      <c r="B96" s="110">
        <v>1</v>
      </c>
      <c r="C96" s="218" t="s">
        <v>102</v>
      </c>
      <c r="D96" s="219">
        <v>29.43</v>
      </c>
      <c r="E96" s="140"/>
      <c r="F96" s="152">
        <v>28.31</v>
      </c>
    </row>
    <row r="97" spans="1:10" ht="26.25" customHeight="1" x14ac:dyDescent="0.4">
      <c r="A97" s="124" t="s">
        <v>64</v>
      </c>
      <c r="B97" s="110">
        <v>1</v>
      </c>
      <c r="C97" s="220" t="s">
        <v>103</v>
      </c>
      <c r="D97" s="221">
        <f>D96*$B$87</f>
        <v>29.43</v>
      </c>
      <c r="E97" s="155"/>
      <c r="F97" s="154">
        <f>F96*$B$87</f>
        <v>28.31</v>
      </c>
    </row>
    <row r="98" spans="1:10" ht="19.5" customHeight="1" x14ac:dyDescent="0.3">
      <c r="A98" s="124" t="s">
        <v>66</v>
      </c>
      <c r="B98" s="222">
        <f>(B97/B96)*(B95/B94)*(B93/B92)*(B91/B90)*B89</f>
        <v>5000</v>
      </c>
      <c r="C98" s="220" t="s">
        <v>104</v>
      </c>
      <c r="D98" s="223">
        <f>D97*$B$83/100</f>
        <v>29.400570000000002</v>
      </c>
      <c r="E98" s="158"/>
      <c r="F98" s="157">
        <f>F97*$B$83/100</f>
        <v>28.281689999999998</v>
      </c>
    </row>
    <row r="99" spans="1:10" ht="19.5" customHeight="1" x14ac:dyDescent="0.3">
      <c r="A99" s="295" t="s">
        <v>68</v>
      </c>
      <c r="B99" s="310"/>
      <c r="C99" s="220" t="s">
        <v>105</v>
      </c>
      <c r="D99" s="221">
        <f>D98/$B$98</f>
        <v>5.8801140000000005E-3</v>
      </c>
      <c r="E99" s="158"/>
      <c r="F99" s="161">
        <f>F98/$B$98</f>
        <v>5.6563379999999995E-3</v>
      </c>
      <c r="G99" s="224"/>
      <c r="H99" s="150"/>
    </row>
    <row r="100" spans="1:10" ht="19.5" customHeight="1" x14ac:dyDescent="0.3">
      <c r="A100" s="297"/>
      <c r="B100" s="311"/>
      <c r="C100" s="220" t="s">
        <v>112</v>
      </c>
      <c r="D100" s="279">
        <v>6.0000000000000001E-3</v>
      </c>
      <c r="F100" s="166"/>
      <c r="G100" s="225"/>
      <c r="H100" s="150"/>
    </row>
    <row r="101" spans="1:10" ht="18.75" x14ac:dyDescent="0.3">
      <c r="C101" s="220" t="s">
        <v>70</v>
      </c>
      <c r="D101" s="221">
        <f>D100*$B$98</f>
        <v>30</v>
      </c>
      <c r="F101" s="166"/>
      <c r="G101" s="224"/>
      <c r="H101" s="150"/>
    </row>
    <row r="102" spans="1:10" ht="19.5" customHeight="1" x14ac:dyDescent="0.3">
      <c r="C102" s="226" t="s">
        <v>71</v>
      </c>
      <c r="D102" s="227">
        <f>D101/B34</f>
        <v>30</v>
      </c>
      <c r="F102" s="170"/>
      <c r="G102" s="224"/>
      <c r="H102" s="150"/>
      <c r="J102" s="228"/>
    </row>
    <row r="103" spans="1:10" ht="18.75" x14ac:dyDescent="0.3">
      <c r="C103" s="229" t="s">
        <v>97</v>
      </c>
      <c r="D103" s="230">
        <f>AVERAGE(E91:E94,G91:G94)</f>
        <v>0.52423251395169623</v>
      </c>
      <c r="F103" s="170"/>
      <c r="G103" s="231"/>
      <c r="H103" s="150"/>
      <c r="J103" s="232"/>
    </row>
    <row r="104" spans="1:10" ht="18.75" x14ac:dyDescent="0.3">
      <c r="C104" s="199" t="s">
        <v>73</v>
      </c>
      <c r="D104" s="233">
        <f>STDEV(E91:E94,G91:G94)/D103</f>
        <v>1.3292831195094513E-2</v>
      </c>
      <c r="F104" s="170"/>
      <c r="G104" s="224"/>
      <c r="H104" s="150"/>
      <c r="J104" s="232"/>
    </row>
    <row r="105" spans="1:10" ht="19.5" customHeight="1" x14ac:dyDescent="0.3">
      <c r="C105" s="201" t="s">
        <v>15</v>
      </c>
      <c r="D105" s="234">
        <f>COUNT(E91:E94,G91:G94)</f>
        <v>6</v>
      </c>
      <c r="F105" s="170"/>
      <c r="G105" s="224"/>
      <c r="H105" s="150"/>
      <c r="J105" s="232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98</v>
      </c>
      <c r="B107" s="123">
        <v>900</v>
      </c>
      <c r="C107" s="235" t="s">
        <v>119</v>
      </c>
      <c r="D107" s="236" t="s">
        <v>54</v>
      </c>
      <c r="E107" s="237" t="s">
        <v>99</v>
      </c>
      <c r="F107" s="238" t="s">
        <v>100</v>
      </c>
    </row>
    <row r="108" spans="1:10" ht="26.25" customHeight="1" x14ac:dyDescent="0.4">
      <c r="A108" s="124" t="s">
        <v>81</v>
      </c>
      <c r="B108" s="125">
        <v>2</v>
      </c>
      <c r="C108" s="239">
        <v>1</v>
      </c>
      <c r="D108" s="275">
        <v>0.49409999999999998</v>
      </c>
      <c r="E108" s="272">
        <f t="shared" ref="E108:E113" si="1">IF(ISBLANK(D108),"-",D108/$D$103*$D$100*$B$116)</f>
        <v>508.96118210742026</v>
      </c>
      <c r="F108" s="240">
        <f>IF(ISBLANK(D108), "-", E108/$B$56)</f>
        <v>1.0179223642148405</v>
      </c>
    </row>
    <row r="109" spans="1:10" ht="26.25" customHeight="1" x14ac:dyDescent="0.4">
      <c r="A109" s="124" t="s">
        <v>83</v>
      </c>
      <c r="B109" s="125">
        <v>200</v>
      </c>
      <c r="C109" s="239">
        <v>2</v>
      </c>
      <c r="D109" s="275">
        <v>0.4864</v>
      </c>
      <c r="E109" s="273">
        <f t="shared" si="1"/>
        <v>501.02958708166204</v>
      </c>
      <c r="F109" s="241">
        <f t="shared" ref="F109:F113" si="2">IF(ISBLANK(D109), "-", E109/$B$56)</f>
        <v>1.002059174163324</v>
      </c>
    </row>
    <row r="110" spans="1:10" ht="26.25" customHeight="1" x14ac:dyDescent="0.4">
      <c r="A110" s="124" t="s">
        <v>84</v>
      </c>
      <c r="B110" s="125">
        <v>1</v>
      </c>
      <c r="C110" s="239">
        <v>3</v>
      </c>
      <c r="D110" s="275">
        <v>0.49959999999999999</v>
      </c>
      <c r="E110" s="273">
        <f t="shared" si="1"/>
        <v>514.62660712581896</v>
      </c>
      <c r="F110" s="241">
        <f t="shared" si="2"/>
        <v>1.029253214251638</v>
      </c>
    </row>
    <row r="111" spans="1:10" ht="26.25" customHeight="1" x14ac:dyDescent="0.4">
      <c r="A111" s="124" t="s">
        <v>85</v>
      </c>
      <c r="B111" s="125">
        <v>1</v>
      </c>
      <c r="C111" s="239">
        <v>4</v>
      </c>
      <c r="D111" s="275">
        <v>0.49059999999999998</v>
      </c>
      <c r="E111" s="273">
        <f t="shared" si="1"/>
        <v>505.35591164116653</v>
      </c>
      <c r="F111" s="241">
        <f t="shared" si="2"/>
        <v>1.0107118232823331</v>
      </c>
    </row>
    <row r="112" spans="1:10" ht="26.25" customHeight="1" x14ac:dyDescent="0.4">
      <c r="A112" s="124" t="s">
        <v>86</v>
      </c>
      <c r="B112" s="125">
        <v>1</v>
      </c>
      <c r="C112" s="239">
        <v>5</v>
      </c>
      <c r="D112" s="275">
        <v>0.49709999999999999</v>
      </c>
      <c r="E112" s="273">
        <f t="shared" si="1"/>
        <v>512.0514139356377</v>
      </c>
      <c r="F112" s="241">
        <f t="shared" si="2"/>
        <v>1.0241028278712754</v>
      </c>
    </row>
    <row r="113" spans="1:10" ht="26.25" customHeight="1" x14ac:dyDescent="0.4">
      <c r="A113" s="124" t="s">
        <v>88</v>
      </c>
      <c r="B113" s="125">
        <v>1</v>
      </c>
      <c r="C113" s="242">
        <v>6</v>
      </c>
      <c r="D113" s="276">
        <v>0.49859999999999999</v>
      </c>
      <c r="E113" s="274">
        <f t="shared" si="1"/>
        <v>513.5965298497465</v>
      </c>
      <c r="F113" s="243">
        <f t="shared" si="2"/>
        <v>1.0271930596994929</v>
      </c>
    </row>
    <row r="114" spans="1:10" ht="26.25" customHeight="1" x14ac:dyDescent="0.4">
      <c r="A114" s="124" t="s">
        <v>89</v>
      </c>
      <c r="B114" s="125">
        <v>1</v>
      </c>
      <c r="C114" s="239"/>
      <c r="D114" s="197"/>
      <c r="E114" s="98"/>
      <c r="F114" s="244"/>
    </row>
    <row r="115" spans="1:10" ht="26.25" customHeight="1" x14ac:dyDescent="0.4">
      <c r="A115" s="124" t="s">
        <v>90</v>
      </c>
      <c r="B115" s="125">
        <v>1</v>
      </c>
      <c r="C115" s="239"/>
      <c r="D115" s="245"/>
      <c r="E115" s="246" t="s">
        <v>61</v>
      </c>
      <c r="F115" s="247">
        <f>AVERAGE(F108:F113)</f>
        <v>1.0185404105804841</v>
      </c>
    </row>
    <row r="116" spans="1:10" ht="27" customHeight="1" x14ac:dyDescent="0.4">
      <c r="A116" s="124" t="s">
        <v>91</v>
      </c>
      <c r="B116" s="156">
        <f>(B115/B114)*(B113/B112)*(B111/B110)*(B109/B108)*B107</f>
        <v>90000</v>
      </c>
      <c r="C116" s="248"/>
      <c r="D116" s="249"/>
      <c r="E116" s="214" t="s">
        <v>73</v>
      </c>
      <c r="F116" s="250">
        <f>STDEV(F108:F113)/F115</f>
        <v>1.033336551330484E-2</v>
      </c>
      <c r="I116" s="98"/>
    </row>
    <row r="117" spans="1:10" ht="27" customHeight="1" x14ac:dyDescent="0.4">
      <c r="A117" s="295" t="s">
        <v>68</v>
      </c>
      <c r="B117" s="296"/>
      <c r="C117" s="251"/>
      <c r="D117" s="252"/>
      <c r="E117" s="253" t="s">
        <v>15</v>
      </c>
      <c r="F117" s="254">
        <f>COUNT(F108:F113)</f>
        <v>6</v>
      </c>
      <c r="I117" s="98"/>
      <c r="J117" s="232"/>
    </row>
    <row r="118" spans="1:10" ht="19.5" customHeight="1" x14ac:dyDescent="0.3">
      <c r="A118" s="297"/>
      <c r="B118" s="298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3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116</v>
      </c>
      <c r="B120" s="202" t="s">
        <v>106</v>
      </c>
      <c r="C120" s="299" t="str">
        <f>B20</f>
        <v xml:space="preserve">Levofloxacin </v>
      </c>
      <c r="D120" s="299"/>
      <c r="E120" s="203" t="s">
        <v>107</v>
      </c>
      <c r="F120" s="203"/>
      <c r="G120" s="204">
        <f>F115</f>
        <v>1.0185404105804841</v>
      </c>
      <c r="H120" s="98"/>
      <c r="I120" s="98"/>
    </row>
    <row r="121" spans="1:10" ht="19.5" customHeight="1" x14ac:dyDescent="0.3">
      <c r="A121" s="255"/>
      <c r="B121" s="255"/>
      <c r="C121" s="256"/>
      <c r="D121" s="256"/>
      <c r="E121" s="256"/>
      <c r="F121" s="256"/>
      <c r="G121" s="256"/>
      <c r="H121" s="256"/>
    </row>
    <row r="122" spans="1:10" ht="18.75" x14ac:dyDescent="0.3">
      <c r="B122" s="300" t="s">
        <v>21</v>
      </c>
      <c r="C122" s="300"/>
      <c r="E122" s="209" t="s">
        <v>22</v>
      </c>
      <c r="F122" s="257"/>
      <c r="G122" s="300" t="s">
        <v>23</v>
      </c>
      <c r="H122" s="300"/>
    </row>
    <row r="123" spans="1:10" ht="69.95" customHeight="1" x14ac:dyDescent="0.3">
      <c r="A123" s="258" t="s">
        <v>24</v>
      </c>
      <c r="B123" s="259"/>
      <c r="C123" s="259"/>
      <c r="E123" s="259"/>
      <c r="F123" s="98"/>
      <c r="G123" s="260"/>
      <c r="H123" s="260"/>
    </row>
    <row r="124" spans="1:10" ht="69.95" customHeight="1" x14ac:dyDescent="0.3">
      <c r="A124" s="258" t="s">
        <v>25</v>
      </c>
      <c r="B124" s="261"/>
      <c r="C124" s="261"/>
      <c r="E124" s="261"/>
      <c r="F124" s="98"/>
      <c r="G124" s="262"/>
      <c r="H124" s="262"/>
    </row>
    <row r="125" spans="1:10" ht="18.75" x14ac:dyDescent="0.3">
      <c r="A125" s="196"/>
      <c r="B125" s="196"/>
      <c r="C125" s="197"/>
      <c r="D125" s="197"/>
      <c r="E125" s="197"/>
      <c r="F125" s="200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0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0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0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0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0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0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0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0"/>
      <c r="G133" s="197"/>
      <c r="H133" s="197"/>
      <c r="I133" s="98"/>
    </row>
    <row r="250" spans="1:1" x14ac:dyDescent="0.25">
      <c r="A250" s="2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F16"/>
  <sheetViews>
    <sheetView workbookViewId="0">
      <selection activeCell="E37" sqref="E37"/>
    </sheetView>
  </sheetViews>
  <sheetFormatPr defaultRowHeight="12.75" x14ac:dyDescent="0.2"/>
  <sheetData>
    <row r="11" spans="6:6" x14ac:dyDescent="0.2">
      <c r="F11">
        <f>300/900*2/50</f>
        <v>1.3333333333333332E-2</v>
      </c>
    </row>
    <row r="16" spans="6:6" x14ac:dyDescent="0.2">
      <c r="F16" s="278">
        <f>100/900*2/20</f>
        <v>1.111111111111111E-2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Bactaquin 750mg</vt:lpstr>
      <vt:lpstr>Sheet1</vt:lpstr>
      <vt:lpstr>'Bactaquin 750mg'!Print_Area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2016-03-03T08:32:09Z</cp:lastPrinted>
  <dcterms:created xsi:type="dcterms:W3CDTF">2005-07-05T10:19:27Z</dcterms:created>
  <dcterms:modified xsi:type="dcterms:W3CDTF">2016-03-29T11:04:25Z</dcterms:modified>
</cp:coreProperties>
</file>