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4"/>
  </bookViews>
  <sheets>
    <sheet name="SST" sheetId="1" r:id="rId1"/>
    <sheet name="SST Ethinyl " sheetId="9" r:id="rId2"/>
    <sheet name="Uniformity" sheetId="2" r:id="rId3"/>
    <sheet name="Levonorgestrel " sheetId="8" r:id="rId4"/>
    <sheet name="Ethinyl etradiol 1" sheetId="6" r:id="rId5"/>
  </sheets>
  <definedNames>
    <definedName name="_xlnm.Print_Area" localSheetId="4">'Ethinyl etradiol 1'!$A$1:$H$140</definedName>
    <definedName name="_xlnm.Print_Area" localSheetId="3">'Levonorgestrel '!$A$1:$J$134</definedName>
    <definedName name="_xlnm.Print_Area" localSheetId="2">Uniformity!$A$1:$J$60</definedName>
  </definedNames>
  <calcPr calcId="145621"/>
</workbook>
</file>

<file path=xl/calcChain.xml><?xml version="1.0" encoding="utf-8"?>
<calcChain xmlns="http://schemas.openxmlformats.org/spreadsheetml/2006/main">
  <c r="E51" i="1" l="1"/>
  <c r="E30" i="1"/>
  <c r="B20" i="9" l="1"/>
  <c r="B19" i="9"/>
  <c r="B18" i="9"/>
  <c r="B53" i="9"/>
  <c r="E51" i="9"/>
  <c r="D51" i="9"/>
  <c r="C51" i="9"/>
  <c r="B51" i="9"/>
  <c r="B52" i="9" s="1"/>
  <c r="B32" i="9"/>
  <c r="E30" i="9"/>
  <c r="D30" i="9"/>
  <c r="C30" i="9"/>
  <c r="B30" i="9"/>
  <c r="B31" i="9" s="1"/>
  <c r="B17" i="9"/>
  <c r="B42" i="1"/>
  <c r="B41" i="1"/>
  <c r="B40" i="1"/>
  <c r="B39" i="1"/>
  <c r="B20" i="1"/>
  <c r="B19" i="1"/>
  <c r="B18" i="1"/>
  <c r="B17" i="1"/>
  <c r="B23" i="6" l="1"/>
  <c r="B22" i="6"/>
  <c r="B21" i="6"/>
  <c r="B20" i="6"/>
  <c r="B19" i="6"/>
  <c r="B18" i="6"/>
  <c r="B89" i="8"/>
  <c r="B88" i="8"/>
  <c r="B87" i="8"/>
  <c r="B125" i="8"/>
  <c r="D109" i="8" s="1"/>
  <c r="B107" i="8"/>
  <c r="F106" i="8"/>
  <c r="F107" i="8" s="1"/>
  <c r="G102" i="8" s="1"/>
  <c r="D106" i="8"/>
  <c r="F104" i="8"/>
  <c r="D104" i="8"/>
  <c r="G103" i="8"/>
  <c r="E103" i="8"/>
  <c r="B96" i="8"/>
  <c r="B90" i="8"/>
  <c r="B91" i="8"/>
  <c r="B67" i="8"/>
  <c r="B57" i="8"/>
  <c r="B45" i="8"/>
  <c r="D48" i="8" s="1"/>
  <c r="F42" i="8"/>
  <c r="D42" i="8"/>
  <c r="G41" i="8"/>
  <c r="E41" i="8"/>
  <c r="B34" i="8"/>
  <c r="F44" i="8" s="1"/>
  <c r="F45" i="8" s="1"/>
  <c r="B30" i="8"/>
  <c r="B55" i="8"/>
  <c r="C129" i="6"/>
  <c r="B125" i="6"/>
  <c r="D109" i="6" s="1"/>
  <c r="D110" i="6" s="1"/>
  <c r="D111" i="6" s="1"/>
  <c r="F122" i="6"/>
  <c r="E122" i="6"/>
  <c r="F121" i="6"/>
  <c r="E121" i="6"/>
  <c r="F120" i="6"/>
  <c r="E120" i="6"/>
  <c r="F119" i="6"/>
  <c r="E119" i="6"/>
  <c r="F118" i="6"/>
  <c r="E118" i="6"/>
  <c r="F117" i="6"/>
  <c r="E117" i="6"/>
  <c r="B107" i="6"/>
  <c r="F106" i="6"/>
  <c r="F107" i="6" s="1"/>
  <c r="F108" i="6" s="1"/>
  <c r="F104" i="6"/>
  <c r="D104" i="6"/>
  <c r="G103" i="6"/>
  <c r="E103" i="6"/>
  <c r="G102" i="6"/>
  <c r="E102" i="6"/>
  <c r="G101" i="6"/>
  <c r="E101" i="6"/>
  <c r="G100" i="6"/>
  <c r="E100" i="6"/>
  <c r="B96" i="6"/>
  <c r="D106" i="6" s="1"/>
  <c r="D107" i="6" s="1"/>
  <c r="D108" i="6" s="1"/>
  <c r="B91" i="6"/>
  <c r="B90" i="6"/>
  <c r="B89" i="6"/>
  <c r="B67" i="6"/>
  <c r="B45" i="6"/>
  <c r="D48" i="6" s="1"/>
  <c r="D49" i="6" s="1"/>
  <c r="F42" i="6"/>
  <c r="D42" i="6"/>
  <c r="G41" i="6"/>
  <c r="E41" i="6"/>
  <c r="B34" i="6"/>
  <c r="F44" i="6" s="1"/>
  <c r="B30" i="6"/>
  <c r="D50" i="2"/>
  <c r="B49" i="2"/>
  <c r="C46" i="2"/>
  <c r="B57" i="6" s="1"/>
  <c r="C45" i="2"/>
  <c r="D42" i="2"/>
  <c r="D41" i="2"/>
  <c r="D38" i="2"/>
  <c r="D37" i="2"/>
  <c r="D34" i="2"/>
  <c r="D33" i="2"/>
  <c r="D30" i="2"/>
  <c r="D29" i="2"/>
  <c r="D26" i="2"/>
  <c r="D25" i="2"/>
  <c r="C19" i="2"/>
  <c r="B53" i="1"/>
  <c r="D51" i="1"/>
  <c r="C51" i="1"/>
  <c r="B51" i="1"/>
  <c r="B52" i="1" s="1"/>
  <c r="B32" i="1"/>
  <c r="F30" i="1"/>
  <c r="D30" i="1"/>
  <c r="C30" i="1"/>
  <c r="B30" i="1"/>
  <c r="B31" i="1" s="1"/>
  <c r="G101" i="8" l="1"/>
  <c r="C129" i="8"/>
  <c r="C56" i="8"/>
  <c r="C74" i="8"/>
  <c r="C74" i="6"/>
  <c r="B55" i="6"/>
  <c r="C56" i="6"/>
  <c r="F108" i="8"/>
  <c r="D110" i="8"/>
  <c r="E39" i="6"/>
  <c r="E40" i="6"/>
  <c r="F46" i="8"/>
  <c r="G40" i="8"/>
  <c r="G38" i="8"/>
  <c r="D49" i="8"/>
  <c r="G39" i="8"/>
  <c r="D107" i="8"/>
  <c r="D44" i="8"/>
  <c r="D45" i="8" s="1"/>
  <c r="D46" i="8" s="1"/>
  <c r="B21" i="1" s="1"/>
  <c r="D112" i="6"/>
  <c r="D113" i="6" s="1"/>
  <c r="G104" i="6"/>
  <c r="F124" i="6"/>
  <c r="G129" i="6" s="1"/>
  <c r="D114" i="6"/>
  <c r="F45" i="6"/>
  <c r="F46" i="6" s="1"/>
  <c r="F125" i="6"/>
  <c r="D27" i="2"/>
  <c r="D31" i="2"/>
  <c r="D35" i="2"/>
  <c r="D39" i="2"/>
  <c r="D43" i="2"/>
  <c r="C49" i="2"/>
  <c r="D44" i="6"/>
  <c r="D45" i="6" s="1"/>
  <c r="D46" i="6" s="1"/>
  <c r="B21" i="9" s="1"/>
  <c r="D24" i="2"/>
  <c r="D28" i="2"/>
  <c r="D32" i="2"/>
  <c r="D36" i="2"/>
  <c r="D40" i="2"/>
  <c r="D49" i="2"/>
  <c r="F126" i="6"/>
  <c r="C50" i="2"/>
  <c r="E104" i="6"/>
  <c r="G38" i="6" l="1"/>
  <c r="G39" i="6"/>
  <c r="G40" i="6"/>
  <c r="E38" i="6"/>
  <c r="D52" i="6" s="1"/>
  <c r="D111" i="8"/>
  <c r="G100" i="8"/>
  <c r="G104" i="8" s="1"/>
  <c r="D108" i="8"/>
  <c r="E102" i="8"/>
  <c r="E100" i="8"/>
  <c r="E101" i="8"/>
  <c r="G42" i="6"/>
  <c r="E42" i="6"/>
  <c r="G42" i="8"/>
  <c r="E38" i="8"/>
  <c r="E40" i="8"/>
  <c r="E39" i="8"/>
  <c r="D50" i="6" l="1"/>
  <c r="D51" i="6" s="1"/>
  <c r="D112" i="8"/>
  <c r="E104" i="8"/>
  <c r="D114" i="8"/>
  <c r="E59" i="6"/>
  <c r="G59" i="6" s="1"/>
  <c r="E61" i="6"/>
  <c r="G61" i="6" s="1"/>
  <c r="E63" i="6"/>
  <c r="G63" i="6" s="1"/>
  <c r="E62" i="6"/>
  <c r="G62" i="6" s="1"/>
  <c r="E66" i="6"/>
  <c r="G66" i="6" s="1"/>
  <c r="E60" i="6"/>
  <c r="G60" i="6" s="1"/>
  <c r="D52" i="8"/>
  <c r="D50" i="8"/>
  <c r="E42" i="8"/>
  <c r="E65" i="6" l="1"/>
  <c r="G65" i="6" s="1"/>
  <c r="E64" i="6"/>
  <c r="G64" i="6" s="1"/>
  <c r="E68" i="6"/>
  <c r="G68" i="6" s="1"/>
  <c r="E67" i="6"/>
  <c r="G67" i="6" s="1"/>
  <c r="G70" i="6" s="1"/>
  <c r="D113" i="8"/>
  <c r="E121" i="8"/>
  <c r="F121" i="8" s="1"/>
  <c r="E118" i="8"/>
  <c r="F118" i="8" s="1"/>
  <c r="E119" i="8"/>
  <c r="F119" i="8" s="1"/>
  <c r="E120" i="8"/>
  <c r="F120" i="8" s="1"/>
  <c r="E122" i="8"/>
  <c r="F122" i="8" s="1"/>
  <c r="E117" i="8"/>
  <c r="F117" i="8" s="1"/>
  <c r="E70" i="6"/>
  <c r="F60" i="6" s="1"/>
  <c r="D51" i="8"/>
  <c r="E67" i="8"/>
  <c r="E59" i="8"/>
  <c r="E60" i="8"/>
  <c r="E61" i="8"/>
  <c r="E63" i="8"/>
  <c r="E68" i="8"/>
  <c r="E65" i="8"/>
  <c r="G65" i="8" s="1"/>
  <c r="E62" i="8"/>
  <c r="E64" i="8"/>
  <c r="E66" i="8"/>
  <c r="G72" i="6" l="1"/>
  <c r="C81" i="6"/>
  <c r="E72" i="6"/>
  <c r="F63" i="6"/>
  <c r="F124" i="8"/>
  <c r="F126" i="8"/>
  <c r="E71" i="6"/>
  <c r="F65" i="6"/>
  <c r="F61" i="6"/>
  <c r="F67" i="6"/>
  <c r="F64" i="6"/>
  <c r="F68" i="6"/>
  <c r="F62" i="6"/>
  <c r="F66" i="6"/>
  <c r="F59" i="6"/>
  <c r="C79" i="6"/>
  <c r="C82" i="6" s="1"/>
  <c r="G74" i="6"/>
  <c r="G71" i="6"/>
  <c r="G60" i="8"/>
  <c r="G66" i="8"/>
  <c r="G59" i="8"/>
  <c r="E70" i="8"/>
  <c r="F65" i="8" s="1"/>
  <c r="E72" i="8"/>
  <c r="G64" i="8"/>
  <c r="G63" i="8"/>
  <c r="G67" i="8"/>
  <c r="G68" i="8"/>
  <c r="G62" i="8"/>
  <c r="G61" i="8"/>
  <c r="G129" i="8" l="1"/>
  <c r="F125" i="8"/>
  <c r="F72" i="6"/>
  <c r="F70" i="6"/>
  <c r="F71" i="6" s="1"/>
  <c r="C83" i="6"/>
  <c r="F61" i="8"/>
  <c r="F68" i="8"/>
  <c r="F63" i="8"/>
  <c r="F62" i="8"/>
  <c r="F67" i="8"/>
  <c r="F64" i="8"/>
  <c r="E71" i="8"/>
  <c r="F59" i="8"/>
  <c r="F66" i="8"/>
  <c r="F60" i="8"/>
  <c r="G70" i="8"/>
  <c r="G71" i="8" s="1"/>
  <c r="G72" i="8"/>
  <c r="C81" i="8"/>
  <c r="F70" i="8" l="1"/>
  <c r="F71" i="8" s="1"/>
  <c r="F72" i="8"/>
  <c r="C79" i="8"/>
  <c r="C82" i="8"/>
  <c r="G74" i="8"/>
  <c r="C83" i="8" l="1"/>
</calcChain>
</file>

<file path=xl/sharedStrings.xml><?xml version="1.0" encoding="utf-8"?>
<sst xmlns="http://schemas.openxmlformats.org/spreadsheetml/2006/main" count="432" uniqueCount="133">
  <si>
    <t>HPLC System Suitability Report</t>
  </si>
  <si>
    <t>Analysis Data</t>
  </si>
  <si>
    <t>Assay</t>
  </si>
  <si>
    <t>Sample(s)</t>
  </si>
  <si>
    <t>Reference Substance:</t>
  </si>
  <si>
    <t>KURVELO</t>
  </si>
  <si>
    <t>% age Purity:</t>
  </si>
  <si>
    <t>NDQD201510440</t>
  </si>
  <si>
    <t>Weight (mg):</t>
  </si>
  <si>
    <t>Levonorgestrel 0.15mg,Ethinylestradiol 0.03mg.</t>
  </si>
  <si>
    <t>Standard Conc (mg/mL):</t>
  </si>
  <si>
    <t>Each light orange tablet (21) contains: Levonorgesterl USP 0.15mg
Ethinyl Estradiol USP 0.03mg</t>
  </si>
  <si>
    <t>2015-10-15 09:50:37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</si>
  <si>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</si>
  <si>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</si>
  <si>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</si>
  <si>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</si>
  <si>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</si>
  <si>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</si>
  <si>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</si>
  <si>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</si>
  <si>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</si>
  <si>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</si>
  <si>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</si>
  <si>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</si>
  <si>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</si>
  <si>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</si>
  <si>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</si>
  <si>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</si>
  <si>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</si>
  <si>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</si>
  <si>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</si>
  <si>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</si>
  <si>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</si>
  <si>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</si>
  <si>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</si>
  <si>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</si>
  <si>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</si>
  <si>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</si>
  <si>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</si>
  <si>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</si>
  <si>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</si>
  <si>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</si>
  <si>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</si>
  <si>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</si>
  <si>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</si>
  <si>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</si>
  <si>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</si>
  <si>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</si>
  <si>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</si>
  <si>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</si>
  <si>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</si>
  <si>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</si>
  <si>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</si>
  <si>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</si>
  <si>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</si>
  <si>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</si>
  <si>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</si>
  <si>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</si>
  <si>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</si>
  <si>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</si>
  <si>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</si>
  <si>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</si>
  <si>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</si>
  <si>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</si>
  <si>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</si>
  <si>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</si>
  <si>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</si>
  <si>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</si>
  <si>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</si>
  <si>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</si>
  <si>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</si>
  <si>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</si>
  <si>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</si>
  <si>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</si>
  <si>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</si>
  <si>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</si>
  <si>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</si>
  <si>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</si>
  <si>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</si>
  <si>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</si>
  <si>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</si>
  <si>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</si>
  <si>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</si>
  <si>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</si>
  <si>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</si>
  <si>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</si>
  <si>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</si>
  <si>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</si>
  <si>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</si>
  <si>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</si>
  <si>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</si>
  <si>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</si>
  <si>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</si>
  <si>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</si>
  <si>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</si>
  <si>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Amt of RS (mg):</t>
  </si>
  <si>
    <t>Amt of RS as free base (mg):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</si>
  <si>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</si>
  <si>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</si>
  <si>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</si>
  <si>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</si>
  <si>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</si>
  <si>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</si>
  <si>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If correction for water content is NOT needed, enter 0</t>
  </si>
  <si>
    <t>Initial Standard dilution (mL):</t>
  </si>
  <si>
    <t>Desired Concetration (mg/mL):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</si>
  <si>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</si>
  <si>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</si>
  <si>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</si>
  <si>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</si>
  <si>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</si>
  <si>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</si>
  <si>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</si>
  <si>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</si>
  <si>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</si>
  <si>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</si>
  <si>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</si>
  <si>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</si>
  <si>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</si>
  <si>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Book Antiqua"/>
        <family val="1"/>
      </rPr>
      <t xml:space="preserve"> 15)</t>
    </r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</si>
  <si>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</si>
  <si>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</si>
  <si>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tablet No.</t>
  </si>
  <si>
    <t>Ethinyl Estradiol</t>
  </si>
  <si>
    <t>PRS/E1-2</t>
  </si>
  <si>
    <t>Levonorgestrel</t>
  </si>
  <si>
    <t>WRS/L34-1</t>
  </si>
  <si>
    <t>Each light orange tablet (21) contains: Levonorgesterl USP 0.15mg</t>
  </si>
  <si>
    <t>20th April 2016</t>
  </si>
  <si>
    <t>RESOLUTION</t>
  </si>
  <si>
    <t>30th March 2016</t>
  </si>
  <si>
    <r>
      <t>Resolution between the two peaks</t>
    </r>
    <r>
      <rPr>
        <b/>
        <sz val="12"/>
        <color rgb="FF000000"/>
        <rFont val="Book Antiqua"/>
        <family val="1"/>
      </rPr>
      <t xml:space="preserve"> is greater than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</si>
</sst>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0.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4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3" fillId="2" borderId="0"/>
  </cellStyleXfs>
  <cellXfs count="33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left"/>
      <protection locked="0"/>
    </xf>
    <xf numFmtId="0" fontId="14" fillId="2" borderId="0" xfId="0" applyFont="1" applyFill="1"/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7" fillId="2" borderId="0" xfId="0" applyFont="1" applyFill="1"/>
    <xf numFmtId="0" fontId="12" fillId="2" borderId="0" xfId="0" applyFont="1" applyFill="1" applyAlignment="1">
      <alignment horizontal="center"/>
    </xf>
    <xf numFmtId="0" fontId="15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54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32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3" fillId="3" borderId="41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29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3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55" xfId="0" applyFont="1" applyFill="1" applyBorder="1" applyAlignment="1">
      <alignment horizontal="center"/>
    </xf>
    <xf numFmtId="0" fontId="12" fillId="7" borderId="50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51" xfId="0" applyFont="1" applyFill="1" applyBorder="1" applyAlignment="1">
      <alignment horizontal="center" wrapText="1"/>
    </xf>
    <xf numFmtId="0" fontId="12" fillId="7" borderId="22" xfId="0" applyFont="1" applyFill="1" applyBorder="1" applyAlignment="1">
      <alignment horizontal="center" wrapText="1"/>
    </xf>
    <xf numFmtId="0" fontId="11" fillId="2" borderId="29" xfId="0" applyFont="1" applyFill="1" applyBorder="1" applyAlignment="1">
      <alignment horizontal="center"/>
    </xf>
    <xf numFmtId="2" fontId="11" fillId="2" borderId="26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28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2" fontId="11" fillId="2" borderId="38" xfId="0" applyNumberFormat="1" applyFont="1" applyFill="1" applyBorder="1" applyAlignment="1">
      <alignment horizontal="center"/>
    </xf>
    <xf numFmtId="2" fontId="11" fillId="2" borderId="56" xfId="0" applyNumberFormat="1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4" xfId="0" applyFont="1" applyFill="1" applyBorder="1"/>
    <xf numFmtId="0" fontId="11" fillId="2" borderId="23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2" fontId="13" fillId="5" borderId="27" xfId="0" applyNumberFormat="1" applyFont="1" applyFill="1" applyBorder="1" applyAlignment="1">
      <alignment horizontal="center"/>
    </xf>
    <xf numFmtId="10" fontId="12" fillId="6" borderId="27" xfId="0" applyNumberFormat="1" applyFont="1" applyFill="1" applyBorder="1" applyAlignment="1">
      <alignment horizontal="center"/>
    </xf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57" xfId="0" applyNumberFormat="1" applyFont="1" applyFill="1" applyBorder="1" applyAlignment="1">
      <alignment horizontal="center"/>
    </xf>
    <xf numFmtId="2" fontId="13" fillId="5" borderId="57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1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6" fillId="2" borderId="0" xfId="0" applyFont="1" applyFill="1"/>
    <xf numFmtId="0" fontId="13" fillId="3" borderId="22" xfId="0" applyFont="1" applyFill="1" applyBorder="1" applyAlignment="1" applyProtection="1">
      <alignment horizontal="center"/>
      <protection locked="0"/>
    </xf>
    <xf numFmtId="0" fontId="12" fillId="2" borderId="45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3" fillId="3" borderId="24" xfId="0" applyFont="1" applyFill="1" applyBorder="1" applyAlignment="1" applyProtection="1">
      <alignment horizontal="center"/>
      <protection locked="0"/>
    </xf>
    <xf numFmtId="170" fontId="11" fillId="2" borderId="4" xfId="0" applyNumberFormat="1" applyFont="1" applyFill="1" applyBorder="1" applyAlignment="1">
      <alignment horizontal="center"/>
    </xf>
    <xf numFmtId="0" fontId="13" fillId="3" borderId="46" xfId="0" applyFont="1" applyFill="1" applyBorder="1" applyAlignment="1" applyProtection="1">
      <alignment horizontal="center"/>
      <protection locked="0"/>
    </xf>
    <xf numFmtId="170" fontId="11" fillId="2" borderId="3" xfId="0" applyNumberFormat="1" applyFont="1" applyFill="1" applyBorder="1" applyAlignment="1">
      <alignment horizontal="center"/>
    </xf>
    <xf numFmtId="170" fontId="13" fillId="3" borderId="0" xfId="0" applyNumberFormat="1" applyFont="1" applyFill="1" applyAlignment="1" applyProtection="1">
      <alignment horizontal="center"/>
      <protection locked="0"/>
    </xf>
    <xf numFmtId="170" fontId="11" fillId="2" borderId="5" xfId="0" applyNumberFormat="1" applyFont="1" applyFill="1" applyBorder="1" applyAlignment="1">
      <alignment horizontal="center"/>
    </xf>
    <xf numFmtId="170" fontId="13" fillId="3" borderId="7" xfId="0" applyNumberFormat="1" applyFont="1" applyFill="1" applyBorder="1" applyAlignment="1" applyProtection="1">
      <alignment horizontal="center"/>
      <protection locked="0"/>
    </xf>
    <xf numFmtId="170" fontId="12" fillId="6" borderId="47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3" fillId="3" borderId="48" xfId="0" applyFont="1" applyFill="1" applyBorder="1" applyAlignment="1" applyProtection="1">
      <alignment horizontal="center"/>
      <protection locked="0"/>
    </xf>
    <xf numFmtId="2" fontId="11" fillId="6" borderId="27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25" xfId="0" applyFont="1" applyFill="1" applyBorder="1" applyAlignment="1">
      <alignment horizontal="right"/>
    </xf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51" xfId="0" applyFont="1" applyFill="1" applyBorder="1"/>
    <xf numFmtId="0" fontId="12" fillId="2" borderId="22" xfId="0" applyFont="1" applyFill="1" applyBorder="1" applyAlignment="1">
      <alignment horizontal="center" wrapText="1"/>
    </xf>
    <xf numFmtId="170" fontId="13" fillId="3" borderId="31" xfId="0" applyNumberFormat="1" applyFont="1" applyFill="1" applyBorder="1" applyAlignment="1" applyProtection="1">
      <alignment horizontal="center"/>
      <protection locked="0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70" fontId="13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58" xfId="0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4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5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1" fillId="2" borderId="59" xfId="0" applyFont="1" applyFill="1" applyBorder="1" applyAlignment="1">
      <alignment horizontal="right"/>
    </xf>
    <xf numFmtId="0" fontId="14" fillId="3" borderId="4" xfId="0" applyFont="1" applyFill="1" applyBorder="1" applyAlignment="1" applyProtection="1">
      <alignment horizontal="center" wrapText="1"/>
      <protection locked="0"/>
    </xf>
    <xf numFmtId="0" fontId="14" fillId="3" borderId="3" xfId="0" applyFont="1" applyFill="1" applyBorder="1" applyAlignment="1" applyProtection="1">
      <alignment horizontal="center" wrapText="1"/>
      <protection locked="0"/>
    </xf>
    <xf numFmtId="0" fontId="14" fillId="3" borderId="56" xfId="0" applyFont="1" applyFill="1" applyBorder="1" applyAlignment="1" applyProtection="1">
      <alignment horizontal="center" wrapText="1"/>
      <protection locked="0"/>
    </xf>
    <xf numFmtId="0" fontId="1" fillId="2" borderId="10" xfId="0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10" fontId="2" fillId="2" borderId="0" xfId="0" applyNumberFormat="1" applyFont="1" applyFill="1" applyBorder="1"/>
    <xf numFmtId="0" fontId="2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2" fillId="2" borderId="45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8" fillId="2" borderId="20" xfId="0" applyFont="1" applyFill="1" applyBorder="1" applyAlignment="1">
      <alignment horizontal="left" vertical="center" wrapText="1"/>
    </xf>
    <xf numFmtId="0" fontId="12" fillId="2" borderId="4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 wrapText="1"/>
      <protection locked="0"/>
    </xf>
    <xf numFmtId="2" fontId="7" fillId="3" borderId="26" xfId="0" applyNumberFormat="1" applyFont="1" applyFill="1" applyBorder="1" applyAlignment="1" applyProtection="1">
      <alignment horizontal="center"/>
      <protection locked="0"/>
    </xf>
    <xf numFmtId="2" fontId="7" fillId="3" borderId="31" xfId="0" applyNumberFormat="1" applyFont="1" applyFill="1" applyBorder="1" applyAlignment="1" applyProtection="1">
      <alignment horizontal="center"/>
      <protection locked="0"/>
    </xf>
    <xf numFmtId="2" fontId="7" fillId="3" borderId="35" xfId="0" applyNumberFormat="1" applyFont="1" applyFill="1" applyBorder="1" applyAlignment="1" applyProtection="1">
      <alignment horizontal="center"/>
      <protection locked="0"/>
    </xf>
    <xf numFmtId="2" fontId="5" fillId="4" borderId="2" xfId="0" applyNumberFormat="1" applyFont="1" applyFill="1" applyBorder="1" applyAlignment="1">
      <alignment horizontal="center"/>
    </xf>
    <xf numFmtId="0" fontId="5" fillId="0" borderId="60" xfId="0" applyFont="1" applyFill="1" applyBorder="1" applyAlignment="1">
      <alignment horizontal="center"/>
    </xf>
    <xf numFmtId="2" fontId="7" fillId="0" borderId="60" xfId="0" applyNumberFormat="1" applyFont="1" applyFill="1" applyBorder="1" applyAlignment="1" applyProtection="1">
      <alignment horizontal="center"/>
      <protection locked="0"/>
    </xf>
    <xf numFmtId="2" fontId="5" fillId="0" borderId="60" xfId="0" applyNumberFormat="1" applyFont="1" applyFill="1" applyBorder="1" applyAlignment="1">
      <alignment horizontal="center"/>
    </xf>
    <xf numFmtId="0" fontId="6" fillId="0" borderId="60" xfId="0" applyFont="1" applyFill="1" applyBorder="1"/>
  </cellXfs>
  <cellStyles count="2">
    <cellStyle name="Normal" xfId="0" builtinId="0"/>
    <cellStyle name="Normal 2" xfId="1"/>
  </cellStyles>
  <dxfs count="27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0" workbookViewId="0">
      <selection activeCell="F49" sqref="F4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27.85546875" style="4" customWidth="1"/>
    <col min="4" max="4" width="25.85546875" style="4" customWidth="1"/>
    <col min="5" max="5" width="25.85546875" style="229" customWidth="1"/>
    <col min="6" max="6" width="25.710937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</row>
    <row r="15" spans="1:6" ht="18.75" customHeight="1" x14ac:dyDescent="0.3">
      <c r="A15" s="295" t="s">
        <v>0</v>
      </c>
      <c r="B15" s="295"/>
      <c r="C15" s="295"/>
      <c r="D15" s="295"/>
      <c r="E15" s="295"/>
      <c r="F15" s="29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'Levonorgestrel '!B18:C18</f>
        <v>KURVELO</v>
      </c>
      <c r="D17" s="9"/>
      <c r="E17" s="9"/>
      <c r="F17" s="10"/>
    </row>
    <row r="18" spans="1:6" ht="16.5" customHeight="1" x14ac:dyDescent="0.3">
      <c r="A18" s="11" t="s">
        <v>4</v>
      </c>
      <c r="B18" s="8" t="str">
        <f>'Levonorgestrel '!B26:C26</f>
        <v>Levonorgestrel</v>
      </c>
      <c r="C18" s="10"/>
      <c r="D18" s="10"/>
      <c r="E18" s="169"/>
      <c r="F18" s="10"/>
    </row>
    <row r="19" spans="1:6" ht="16.5" customHeight="1" x14ac:dyDescent="0.3">
      <c r="A19" s="11" t="s">
        <v>6</v>
      </c>
      <c r="B19" s="12">
        <f>'Levonorgestrel '!B28</f>
        <v>99.7</v>
      </c>
      <c r="C19" s="10"/>
      <c r="D19" s="10"/>
      <c r="E19" s="169"/>
      <c r="F19" s="10"/>
    </row>
    <row r="20" spans="1:6" ht="16.5" customHeight="1" x14ac:dyDescent="0.3">
      <c r="A20" s="7" t="s">
        <v>8</v>
      </c>
      <c r="B20" s="12">
        <f>'Levonorgestrel '!D43</f>
        <v>15.1</v>
      </c>
      <c r="C20" s="10"/>
      <c r="D20" s="10"/>
      <c r="E20" s="169"/>
      <c r="F20" s="10"/>
    </row>
    <row r="21" spans="1:6" ht="16.5" customHeight="1" x14ac:dyDescent="0.3">
      <c r="A21" s="7" t="s">
        <v>10</v>
      </c>
      <c r="B21" s="13">
        <f>'Levonorgestrel '!D46</f>
        <v>3.0109400000000001E-2</v>
      </c>
      <c r="C21" s="10"/>
      <c r="D21" s="10"/>
      <c r="E21" s="169"/>
      <c r="F21" s="10"/>
    </row>
    <row r="22" spans="1:6" ht="15.75" customHeight="1" x14ac:dyDescent="0.25">
      <c r="A22" s="10"/>
      <c r="B22" s="10"/>
      <c r="C22" s="10"/>
      <c r="D22" s="10"/>
      <c r="E22" s="169"/>
      <c r="F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  <c r="F23" s="294" t="s">
        <v>130</v>
      </c>
    </row>
    <row r="24" spans="1:6" ht="16.5" customHeight="1" x14ac:dyDescent="0.3">
      <c r="A24" s="17">
        <v>1</v>
      </c>
      <c r="B24" s="288">
        <v>4997521</v>
      </c>
      <c r="C24" s="288">
        <v>13063.49</v>
      </c>
      <c r="D24" s="289">
        <v>1.02</v>
      </c>
      <c r="E24" s="290">
        <v>8.9499999999999993</v>
      </c>
      <c r="F24" s="290">
        <v>11.96</v>
      </c>
    </row>
    <row r="25" spans="1:6" ht="16.5" customHeight="1" x14ac:dyDescent="0.3">
      <c r="A25" s="17">
        <v>2</v>
      </c>
      <c r="B25" s="288">
        <v>5002034</v>
      </c>
      <c r="C25" s="288">
        <v>12985.93</v>
      </c>
      <c r="D25" s="289">
        <v>1.03</v>
      </c>
      <c r="E25" s="289">
        <v>8.9600000000000009</v>
      </c>
      <c r="F25" s="289">
        <v>11.9</v>
      </c>
    </row>
    <row r="26" spans="1:6" ht="16.5" customHeight="1" x14ac:dyDescent="0.3">
      <c r="A26" s="17">
        <v>3</v>
      </c>
      <c r="B26" s="288">
        <v>5004858</v>
      </c>
      <c r="C26" s="288">
        <v>12908.9</v>
      </c>
      <c r="D26" s="289">
        <v>1.03</v>
      </c>
      <c r="E26" s="289">
        <v>8.9600000000000009</v>
      </c>
      <c r="F26" s="289">
        <v>11.91</v>
      </c>
    </row>
    <row r="27" spans="1:6" ht="16.5" customHeight="1" x14ac:dyDescent="0.3">
      <c r="A27" s="17">
        <v>4</v>
      </c>
      <c r="B27" s="288">
        <v>4999039</v>
      </c>
      <c r="C27" s="288">
        <v>12851.59</v>
      </c>
      <c r="D27" s="289">
        <v>1.03</v>
      </c>
      <c r="E27" s="289">
        <v>8.9600000000000009</v>
      </c>
      <c r="F27" s="289">
        <v>11.87</v>
      </c>
    </row>
    <row r="28" spans="1:6" ht="16.5" customHeight="1" x14ac:dyDescent="0.3">
      <c r="A28" s="17">
        <v>5</v>
      </c>
      <c r="B28" s="288">
        <v>5013224</v>
      </c>
      <c r="C28" s="288">
        <v>12795.04</v>
      </c>
      <c r="D28" s="289">
        <v>1.02</v>
      </c>
      <c r="E28" s="289">
        <v>8.9700000000000006</v>
      </c>
      <c r="F28" s="289">
        <v>11.87</v>
      </c>
    </row>
    <row r="29" spans="1:6" ht="16.5" customHeight="1" x14ac:dyDescent="0.3">
      <c r="A29" s="17">
        <v>6</v>
      </c>
      <c r="B29" s="291">
        <v>4999641</v>
      </c>
      <c r="C29" s="291">
        <v>12842.12</v>
      </c>
      <c r="D29" s="292">
        <v>1.03</v>
      </c>
      <c r="E29" s="292">
        <v>8.9700000000000006</v>
      </c>
      <c r="F29" s="292">
        <v>11.87</v>
      </c>
    </row>
    <row r="30" spans="1:6" ht="16.5" customHeight="1" x14ac:dyDescent="0.3">
      <c r="A30" s="23" t="s">
        <v>18</v>
      </c>
      <c r="B30" s="24">
        <f>AVERAGE(B24:B29)</f>
        <v>5002719.5</v>
      </c>
      <c r="C30" s="25">
        <f>AVERAGE(C24:C29)</f>
        <v>12907.845000000001</v>
      </c>
      <c r="D30" s="26">
        <f>AVERAGE(D24:D29)</f>
        <v>1.0266666666666668</v>
      </c>
      <c r="E30" s="26">
        <f>AVERAGE(E24:E29)</f>
        <v>8.961666666666666</v>
      </c>
      <c r="F30" s="26">
        <f>AVERAGE(F24:F29)</f>
        <v>11.896666666666667</v>
      </c>
    </row>
    <row r="31" spans="1:6" ht="16.5" customHeight="1" x14ac:dyDescent="0.3">
      <c r="A31" s="27" t="s">
        <v>19</v>
      </c>
      <c r="B31" s="28">
        <f>(STDEV(B24:B29)/B30)</f>
        <v>1.1498015263209261E-3</v>
      </c>
      <c r="C31" s="29"/>
      <c r="D31" s="29"/>
      <c r="E31" s="29"/>
      <c r="F31" s="30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73"/>
      <c r="F32" s="35"/>
    </row>
    <row r="33" spans="1:6" s="2" customFormat="1" ht="15.75" customHeight="1" x14ac:dyDescent="0.25">
      <c r="A33" s="10"/>
      <c r="B33" s="10"/>
      <c r="C33" s="10"/>
      <c r="D33" s="10"/>
      <c r="E33" s="169"/>
      <c r="F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  <c r="F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39"/>
    </row>
    <row r="36" spans="1:6" ht="16.5" customHeight="1" x14ac:dyDescent="0.3">
      <c r="A36" s="11"/>
      <c r="B36" s="40" t="s">
        <v>24</v>
      </c>
      <c r="C36" s="38"/>
      <c r="D36" s="38"/>
      <c r="E36" s="39"/>
      <c r="F36" s="38"/>
    </row>
    <row r="37" spans="1:6" ht="15.75" customHeight="1" x14ac:dyDescent="0.3">
      <c r="A37" s="10"/>
      <c r="B37" s="10" t="s">
        <v>132</v>
      </c>
      <c r="C37" s="10"/>
      <c r="D37" s="10"/>
      <c r="E37" s="169"/>
      <c r="F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tr">
        <f>'Levonorgestrel '!B87:C87</f>
        <v>Levonorgestrel</v>
      </c>
      <c r="C39" s="10"/>
      <c r="D39" s="10"/>
      <c r="E39" s="169"/>
      <c r="F39" s="10"/>
    </row>
    <row r="40" spans="1:6" ht="16.5" customHeight="1" x14ac:dyDescent="0.3">
      <c r="A40" s="11" t="s">
        <v>6</v>
      </c>
      <c r="B40" s="12">
        <f>'Levonorgestrel '!B89</f>
        <v>99.7</v>
      </c>
      <c r="C40" s="10"/>
      <c r="D40" s="10"/>
      <c r="E40" s="169"/>
      <c r="F40" s="10"/>
    </row>
    <row r="41" spans="1:6" ht="16.5" customHeight="1" x14ac:dyDescent="0.3">
      <c r="A41" s="7" t="s">
        <v>8</v>
      </c>
      <c r="B41" s="12">
        <f>'Levonorgestrel '!D105</f>
        <v>16.600000000000001</v>
      </c>
      <c r="C41" s="10"/>
      <c r="D41" s="10"/>
      <c r="E41" s="169"/>
      <c r="F41" s="10"/>
    </row>
    <row r="42" spans="1:6" ht="16.5" customHeight="1" x14ac:dyDescent="0.3">
      <c r="A42" s="7" t="s">
        <v>10</v>
      </c>
      <c r="B42" s="13">
        <f>'Levonorgestrel '!D108</f>
        <v>3.3100400000000009E-4</v>
      </c>
      <c r="C42" s="10"/>
      <c r="D42" s="10"/>
      <c r="E42" s="169"/>
      <c r="F42" s="10"/>
    </row>
    <row r="43" spans="1:6" ht="15.75" customHeight="1" x14ac:dyDescent="0.25">
      <c r="A43" s="10"/>
      <c r="B43" s="10"/>
      <c r="C43" s="10"/>
      <c r="D43" s="10"/>
      <c r="E43" s="169"/>
      <c r="F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5" t="s">
        <v>17</v>
      </c>
      <c r="F44" s="335"/>
    </row>
    <row r="45" spans="1:6" ht="16.5" customHeight="1" x14ac:dyDescent="0.3">
      <c r="A45" s="17">
        <v>1</v>
      </c>
      <c r="B45" s="18">
        <v>1969499</v>
      </c>
      <c r="C45" s="18">
        <v>14346.71</v>
      </c>
      <c r="D45" s="19">
        <v>1.08</v>
      </c>
      <c r="E45" s="331">
        <v>6.3</v>
      </c>
      <c r="F45" s="336"/>
    </row>
    <row r="46" spans="1:6" ht="16.5" customHeight="1" x14ac:dyDescent="0.3">
      <c r="A46" s="17">
        <v>2</v>
      </c>
      <c r="B46" s="18">
        <v>1914556</v>
      </c>
      <c r="C46" s="18">
        <v>14244.56</v>
      </c>
      <c r="D46" s="19">
        <v>1.06</v>
      </c>
      <c r="E46" s="332">
        <v>6.32</v>
      </c>
      <c r="F46" s="336"/>
    </row>
    <row r="47" spans="1:6" ht="16.5" customHeight="1" x14ac:dyDescent="0.3">
      <c r="A47" s="17">
        <v>3</v>
      </c>
      <c r="B47" s="18">
        <v>1912709</v>
      </c>
      <c r="C47" s="18">
        <v>14253.64</v>
      </c>
      <c r="D47" s="19">
        <v>1.07</v>
      </c>
      <c r="E47" s="332">
        <v>6.32</v>
      </c>
      <c r="F47" s="336"/>
    </row>
    <row r="48" spans="1:6" ht="16.5" customHeight="1" x14ac:dyDescent="0.3">
      <c r="A48" s="17">
        <v>4</v>
      </c>
      <c r="B48" s="18">
        <v>1915195</v>
      </c>
      <c r="C48" s="18">
        <v>14323.45</v>
      </c>
      <c r="D48" s="19">
        <v>1.05</v>
      </c>
      <c r="E48" s="332">
        <v>6.31</v>
      </c>
      <c r="F48" s="336"/>
    </row>
    <row r="49" spans="1:7" ht="16.5" customHeight="1" x14ac:dyDescent="0.3">
      <c r="A49" s="17">
        <v>5</v>
      </c>
      <c r="B49" s="18">
        <v>1931898</v>
      </c>
      <c r="C49" s="18">
        <v>14360.9</v>
      </c>
      <c r="D49" s="19">
        <v>1.06</v>
      </c>
      <c r="E49" s="332">
        <v>6.29</v>
      </c>
      <c r="F49" s="336"/>
    </row>
    <row r="50" spans="1:7" ht="16.5" customHeight="1" x14ac:dyDescent="0.3">
      <c r="A50" s="17">
        <v>6</v>
      </c>
      <c r="B50" s="21">
        <v>1888831</v>
      </c>
      <c r="C50" s="21">
        <v>14226.38</v>
      </c>
      <c r="D50" s="22">
        <v>1.08</v>
      </c>
      <c r="E50" s="333">
        <v>6.3</v>
      </c>
      <c r="F50" s="336"/>
    </row>
    <row r="51" spans="1:7" ht="16.5" customHeight="1" x14ac:dyDescent="0.3">
      <c r="A51" s="23" t="s">
        <v>18</v>
      </c>
      <c r="B51" s="24">
        <f>AVERAGE(B45:B50)</f>
        <v>1922114.6666666667</v>
      </c>
      <c r="C51" s="25">
        <f>AVERAGE(C45:C50)</f>
        <v>14292.606666666667</v>
      </c>
      <c r="D51" s="26">
        <f>AVERAGE(D45:D50)</f>
        <v>1.0666666666666667</v>
      </c>
      <c r="E51" s="334">
        <f>AVERAGE(E45:E50)</f>
        <v>6.3066666666666658</v>
      </c>
      <c r="F51" s="337"/>
    </row>
    <row r="52" spans="1:7" ht="16.5" customHeight="1" x14ac:dyDescent="0.3">
      <c r="A52" s="27" t="s">
        <v>19</v>
      </c>
      <c r="B52" s="28">
        <f>(STDEV(B45:B50)/B51)</f>
        <v>1.4041772986799697E-2</v>
      </c>
      <c r="C52" s="29"/>
      <c r="D52" s="29"/>
      <c r="E52" s="29"/>
      <c r="F52" s="338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73"/>
      <c r="F53" s="338"/>
    </row>
    <row r="54" spans="1:7" s="2" customFormat="1" ht="15.75" customHeight="1" x14ac:dyDescent="0.25">
      <c r="A54" s="10"/>
      <c r="B54" s="10"/>
      <c r="C54" s="10"/>
      <c r="D54" s="10"/>
      <c r="E54" s="169"/>
      <c r="F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  <c r="F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39"/>
    </row>
    <row r="57" spans="1:7" ht="16.5" customHeight="1" x14ac:dyDescent="0.3">
      <c r="A57" s="11"/>
      <c r="B57" s="40" t="s">
        <v>24</v>
      </c>
      <c r="C57" s="38"/>
      <c r="D57" s="39"/>
      <c r="E57" s="39"/>
      <c r="F57" s="38"/>
    </row>
    <row r="58" spans="1:7" ht="14.25" customHeight="1" x14ac:dyDescent="0.25">
      <c r="A58" s="41"/>
      <c r="B58" s="42"/>
      <c r="D58" s="43"/>
      <c r="E58" s="293"/>
      <c r="G58" s="44"/>
    </row>
    <row r="59" spans="1:7" ht="15" customHeight="1" x14ac:dyDescent="0.3">
      <c r="B59" s="296" t="s">
        <v>26</v>
      </c>
      <c r="C59" s="296"/>
      <c r="F59" s="45" t="s">
        <v>27</v>
      </c>
      <c r="G59" s="45" t="s">
        <v>28</v>
      </c>
    </row>
    <row r="60" spans="1:7" ht="15" customHeight="1" x14ac:dyDescent="0.3">
      <c r="A60" s="47" t="s">
        <v>29</v>
      </c>
      <c r="B60" s="48"/>
      <c r="C60" s="48"/>
      <c r="F60" s="48"/>
      <c r="G60" s="49"/>
    </row>
    <row r="61" spans="1:7" ht="15" customHeight="1" x14ac:dyDescent="0.3">
      <c r="A61" s="47" t="s">
        <v>30</v>
      </c>
      <c r="B61" s="50"/>
      <c r="C61" s="50"/>
      <c r="F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9" workbookViewId="0">
      <selection activeCell="F21" sqref="F21"/>
    </sheetView>
  </sheetViews>
  <sheetFormatPr defaultRowHeight="13.5" x14ac:dyDescent="0.25"/>
  <cols>
    <col min="1" max="1" width="27.5703125" style="229" customWidth="1"/>
    <col min="2" max="2" width="20.42578125" style="229" customWidth="1"/>
    <col min="3" max="3" width="27.85546875" style="229" customWidth="1"/>
    <col min="4" max="4" width="25.85546875" style="229" customWidth="1"/>
    <col min="5" max="5" width="25.7109375" style="229" customWidth="1"/>
    <col min="6" max="6" width="23.140625" style="229" customWidth="1"/>
    <col min="7" max="7" width="28.42578125" style="229" customWidth="1"/>
    <col min="8" max="8" width="21.5703125" style="229" customWidth="1"/>
    <col min="9" max="9" width="9.140625" style="229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5" t="s">
        <v>0</v>
      </c>
      <c r="B15" s="295"/>
      <c r="C15" s="295"/>
      <c r="D15" s="295"/>
      <c r="E15" s="295"/>
    </row>
    <row r="16" spans="1:6" ht="16.5" customHeight="1" x14ac:dyDescent="0.3">
      <c r="A16" s="168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'Levonorgestrel '!B18:C18</f>
        <v>KURVELO</v>
      </c>
      <c r="D17" s="9"/>
      <c r="E17" s="169"/>
    </row>
    <row r="18" spans="1:5" ht="16.5" customHeight="1" x14ac:dyDescent="0.3">
      <c r="A18" s="75" t="s">
        <v>4</v>
      </c>
      <c r="B18" s="8" t="str">
        <f>'Ethinyl etradiol 1'!B26:C26</f>
        <v>Ethinyl Estradiol</v>
      </c>
      <c r="C18" s="169"/>
      <c r="D18" s="169"/>
      <c r="E18" s="169"/>
    </row>
    <row r="19" spans="1:5" ht="16.5" customHeight="1" x14ac:dyDescent="0.3">
      <c r="A19" s="75" t="s">
        <v>6</v>
      </c>
      <c r="B19" s="12">
        <f>'Ethinyl etradiol 1'!B28</f>
        <v>99.8</v>
      </c>
      <c r="C19" s="169"/>
      <c r="D19" s="169"/>
      <c r="E19" s="169"/>
    </row>
    <row r="20" spans="1:5" ht="16.5" customHeight="1" x14ac:dyDescent="0.3">
      <c r="A20" s="8" t="s">
        <v>8</v>
      </c>
      <c r="B20" s="12">
        <f>'Ethinyl etradiol 1'!D43</f>
        <v>24.86</v>
      </c>
      <c r="C20" s="169"/>
      <c r="D20" s="169"/>
      <c r="E20" s="169"/>
    </row>
    <row r="21" spans="1:5" ht="16.5" customHeight="1" x14ac:dyDescent="0.3">
      <c r="A21" s="8" t="s">
        <v>10</v>
      </c>
      <c r="B21" s="13">
        <f>'Ethinyl etradiol 1'!D46</f>
        <v>7.4430839999999991E-3</v>
      </c>
      <c r="C21" s="169"/>
      <c r="D21" s="169"/>
      <c r="E21" s="169"/>
    </row>
    <row r="22" spans="1:5" ht="15.75" customHeight="1" x14ac:dyDescent="0.25">
      <c r="A22" s="169"/>
      <c r="B22" s="169"/>
      <c r="C22" s="169"/>
      <c r="D22" s="169"/>
      <c r="E22" s="169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2691992</v>
      </c>
      <c r="C24" s="18">
        <v>11646.18</v>
      </c>
      <c r="D24" s="19">
        <v>1.04</v>
      </c>
      <c r="E24" s="20">
        <v>5.79</v>
      </c>
    </row>
    <row r="25" spans="1:5" ht="16.5" customHeight="1" x14ac:dyDescent="0.3">
      <c r="A25" s="17">
        <v>2</v>
      </c>
      <c r="B25" s="18">
        <v>2697408</v>
      </c>
      <c r="C25" s="18">
        <v>11586.46</v>
      </c>
      <c r="D25" s="19">
        <v>1.02</v>
      </c>
      <c r="E25" s="19">
        <v>5.8</v>
      </c>
    </row>
    <row r="26" spans="1:5" ht="16.5" customHeight="1" x14ac:dyDescent="0.3">
      <c r="A26" s="17">
        <v>3</v>
      </c>
      <c r="B26" s="18">
        <v>2694151</v>
      </c>
      <c r="C26" s="18">
        <v>11602.86</v>
      </c>
      <c r="D26" s="19">
        <v>1.04</v>
      </c>
      <c r="E26" s="19">
        <v>5.8</v>
      </c>
    </row>
    <row r="27" spans="1:5" ht="16.5" customHeight="1" x14ac:dyDescent="0.3">
      <c r="A27" s="17">
        <v>4</v>
      </c>
      <c r="B27" s="18">
        <v>2696951</v>
      </c>
      <c r="C27" s="18">
        <v>11562.68</v>
      </c>
      <c r="D27" s="19">
        <v>1.03</v>
      </c>
      <c r="E27" s="19">
        <v>5.8</v>
      </c>
    </row>
    <row r="28" spans="1:5" ht="16.5" customHeight="1" x14ac:dyDescent="0.3">
      <c r="A28" s="17">
        <v>5</v>
      </c>
      <c r="B28" s="18">
        <v>2704180</v>
      </c>
      <c r="C28" s="18">
        <v>11538.69</v>
      </c>
      <c r="D28" s="19">
        <v>1.04</v>
      </c>
      <c r="E28" s="19">
        <v>5.8</v>
      </c>
    </row>
    <row r="29" spans="1:5" ht="16.5" customHeight="1" x14ac:dyDescent="0.3">
      <c r="A29" s="17">
        <v>6</v>
      </c>
      <c r="B29" s="21">
        <v>2693250</v>
      </c>
      <c r="C29" s="21">
        <v>11503.48</v>
      </c>
      <c r="D29" s="22">
        <v>1.04</v>
      </c>
      <c r="E29" s="22">
        <v>5.8</v>
      </c>
    </row>
    <row r="30" spans="1:5" ht="16.5" customHeight="1" x14ac:dyDescent="0.3">
      <c r="A30" s="23" t="s">
        <v>18</v>
      </c>
      <c r="B30" s="24">
        <f>AVERAGE(B24:B29)</f>
        <v>2696322</v>
      </c>
      <c r="C30" s="25">
        <f>AVERAGE(C24:C29)</f>
        <v>11573.391666666668</v>
      </c>
      <c r="D30" s="26">
        <f>AVERAGE(D24:D29)</f>
        <v>1.0349999999999999</v>
      </c>
      <c r="E30" s="26">
        <f>AVERAGE(E24:E29)</f>
        <v>5.7983333333333329</v>
      </c>
    </row>
    <row r="31" spans="1:5" ht="16.5" customHeight="1" x14ac:dyDescent="0.3">
      <c r="A31" s="27" t="s">
        <v>19</v>
      </c>
      <c r="B31" s="28">
        <f>(STDEV(B24:B29)/B30)</f>
        <v>1.6269777713598529E-3</v>
      </c>
      <c r="C31" s="29"/>
      <c r="D31" s="29"/>
      <c r="E31" s="30"/>
    </row>
    <row r="32" spans="1:5" s="229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229" customFormat="1" ht="15.75" customHeight="1" x14ac:dyDescent="0.25">
      <c r="A33" s="169"/>
      <c r="B33" s="169"/>
      <c r="C33" s="169"/>
      <c r="D33" s="169"/>
      <c r="E33" s="169"/>
    </row>
    <row r="34" spans="1:5" s="229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169"/>
      <c r="B37" s="169"/>
      <c r="C37" s="169"/>
      <c r="D37" s="169"/>
      <c r="E37" s="169"/>
    </row>
    <row r="38" spans="1:5" ht="16.5" customHeight="1" x14ac:dyDescent="0.3">
      <c r="A38" s="168" t="s">
        <v>1</v>
      </c>
      <c r="B38" s="59" t="s">
        <v>25</v>
      </c>
    </row>
    <row r="39" spans="1:5" ht="16.5" customHeight="1" x14ac:dyDescent="0.3">
      <c r="A39" s="75" t="s">
        <v>4</v>
      </c>
      <c r="B39" s="8"/>
      <c r="C39" s="169"/>
      <c r="D39" s="169"/>
      <c r="E39" s="169"/>
    </row>
    <row r="40" spans="1:5" ht="16.5" customHeight="1" x14ac:dyDescent="0.3">
      <c r="A40" s="75" t="s">
        <v>6</v>
      </c>
      <c r="B40" s="12"/>
      <c r="C40" s="169"/>
      <c r="D40" s="169"/>
      <c r="E40" s="169"/>
    </row>
    <row r="41" spans="1:5" ht="16.5" customHeight="1" x14ac:dyDescent="0.3">
      <c r="A41" s="8" t="s">
        <v>8</v>
      </c>
      <c r="B41" s="12"/>
      <c r="C41" s="169"/>
      <c r="D41" s="169"/>
      <c r="E41" s="169"/>
    </row>
    <row r="42" spans="1:5" ht="16.5" customHeight="1" x14ac:dyDescent="0.3">
      <c r="A42" s="8" t="s">
        <v>10</v>
      </c>
      <c r="B42" s="13"/>
      <c r="C42" s="169"/>
      <c r="D42" s="169"/>
      <c r="E42" s="169"/>
    </row>
    <row r="43" spans="1:5" ht="15.75" customHeight="1" x14ac:dyDescent="0.25">
      <c r="A43" s="169"/>
      <c r="B43" s="169"/>
      <c r="C43" s="169"/>
      <c r="D43" s="169"/>
      <c r="E43" s="169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229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35"/>
    </row>
    <row r="54" spans="1:7" s="229" customFormat="1" ht="15.75" customHeight="1" x14ac:dyDescent="0.25">
      <c r="A54" s="169"/>
      <c r="B54" s="169"/>
      <c r="C54" s="169"/>
      <c r="D54" s="169"/>
      <c r="E54" s="169"/>
    </row>
    <row r="55" spans="1:7" s="229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2"/>
      <c r="D58" s="43"/>
      <c r="F58" s="44"/>
      <c r="G58" s="44"/>
    </row>
    <row r="59" spans="1:7" ht="15" customHeight="1" x14ac:dyDescent="0.3">
      <c r="B59" s="296" t="s">
        <v>26</v>
      </c>
      <c r="C59" s="296"/>
      <c r="E59" s="287" t="s">
        <v>27</v>
      </c>
      <c r="F59" s="46"/>
      <c r="G59" s="287" t="s">
        <v>28</v>
      </c>
    </row>
    <row r="60" spans="1:7" ht="30" customHeight="1" x14ac:dyDescent="0.3">
      <c r="A60" s="47" t="s">
        <v>29</v>
      </c>
      <c r="B60" s="49"/>
      <c r="C60" s="49"/>
      <c r="E60" s="49"/>
      <c r="G60" s="49"/>
    </row>
    <row r="61" spans="1:7" ht="36.7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9" workbookViewId="0">
      <selection activeCell="E35" sqref="E3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00" t="s">
        <v>31</v>
      </c>
      <c r="B11" s="301"/>
      <c r="C11" s="301"/>
      <c r="D11" s="301"/>
      <c r="E11" s="301"/>
      <c r="F11" s="302"/>
      <c r="G11" s="91"/>
    </row>
    <row r="12" spans="1:7" ht="16.5" customHeight="1" x14ac:dyDescent="0.3">
      <c r="A12" s="299" t="s">
        <v>32</v>
      </c>
      <c r="B12" s="299"/>
      <c r="C12" s="299"/>
      <c r="D12" s="299"/>
      <c r="E12" s="299"/>
      <c r="F12" s="299"/>
      <c r="G12" s="90"/>
    </row>
    <row r="14" spans="1:7" ht="16.5" customHeight="1" x14ac:dyDescent="0.3">
      <c r="A14" s="304" t="s">
        <v>33</v>
      </c>
      <c r="B14" s="304"/>
      <c r="C14" s="60" t="s">
        <v>5</v>
      </c>
    </row>
    <row r="15" spans="1:7" ht="16.5" customHeight="1" x14ac:dyDescent="0.3">
      <c r="A15" s="304" t="s">
        <v>34</v>
      </c>
      <c r="B15" s="304"/>
      <c r="C15" s="60" t="s">
        <v>7</v>
      </c>
    </row>
    <row r="16" spans="1:7" ht="16.5" customHeight="1" x14ac:dyDescent="0.3">
      <c r="A16" s="304" t="s">
        <v>35</v>
      </c>
      <c r="B16" s="304"/>
      <c r="C16" s="60" t="s">
        <v>9</v>
      </c>
    </row>
    <row r="17" spans="1:5" ht="16.5" customHeight="1" x14ac:dyDescent="0.3">
      <c r="A17" s="304" t="s">
        <v>36</v>
      </c>
      <c r="B17" s="304"/>
      <c r="C17" s="60" t="s">
        <v>11</v>
      </c>
    </row>
    <row r="18" spans="1:5" ht="16.5" customHeight="1" x14ac:dyDescent="0.3">
      <c r="A18" s="304" t="s">
        <v>37</v>
      </c>
      <c r="B18" s="304"/>
      <c r="C18" s="97" t="s">
        <v>12</v>
      </c>
    </row>
    <row r="19" spans="1:5" ht="16.5" customHeight="1" x14ac:dyDescent="0.3">
      <c r="A19" s="304" t="s">
        <v>38</v>
      </c>
      <c r="B19" s="30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9" t="s">
        <v>1</v>
      </c>
      <c r="B21" s="299"/>
      <c r="C21" s="59" t="s">
        <v>39</v>
      </c>
      <c r="D21" s="66"/>
    </row>
    <row r="22" spans="1:5" ht="15.75" customHeight="1" x14ac:dyDescent="0.3">
      <c r="A22" s="303"/>
      <c r="B22" s="303"/>
      <c r="C22" s="57"/>
      <c r="D22" s="303"/>
      <c r="E22" s="30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81</v>
      </c>
      <c r="D24" s="87">
        <f t="shared" ref="D24:D43" si="0">(C24-$C$46)/$C$46</f>
        <v>6.692641822486519E-3</v>
      </c>
      <c r="E24" s="53"/>
    </row>
    <row r="25" spans="1:5" ht="15.75" customHeight="1" x14ac:dyDescent="0.3">
      <c r="C25" s="95">
        <v>79.12</v>
      </c>
      <c r="D25" s="88">
        <f t="shared" si="0"/>
        <v>-1.6672570111171136E-2</v>
      </c>
      <c r="E25" s="53"/>
    </row>
    <row r="26" spans="1:5" ht="15.75" customHeight="1" x14ac:dyDescent="0.3">
      <c r="C26" s="95">
        <v>80.430000000000007</v>
      </c>
      <c r="D26" s="88">
        <f t="shared" si="0"/>
        <v>-3.9149158293089349E-4</v>
      </c>
      <c r="E26" s="53"/>
    </row>
    <row r="27" spans="1:5" ht="15.75" customHeight="1" x14ac:dyDescent="0.3">
      <c r="C27" s="95">
        <v>81.22</v>
      </c>
      <c r="D27" s="88">
        <f t="shared" si="0"/>
        <v>9.4268687508932587E-3</v>
      </c>
      <c r="E27" s="53"/>
    </row>
    <row r="28" spans="1:5" ht="15.75" customHeight="1" x14ac:dyDescent="0.3">
      <c r="C28" s="95">
        <v>78.95</v>
      </c>
      <c r="D28" s="88">
        <f t="shared" si="0"/>
        <v>-1.8785381828576374E-2</v>
      </c>
      <c r="E28" s="53"/>
    </row>
    <row r="29" spans="1:5" ht="15.75" customHeight="1" x14ac:dyDescent="0.3">
      <c r="C29" s="95">
        <v>79.44</v>
      </c>
      <c r="D29" s="88">
        <f t="shared" si="0"/>
        <v>-1.2695512760761397E-2</v>
      </c>
      <c r="E29" s="53"/>
    </row>
    <row r="30" spans="1:5" ht="15.75" customHeight="1" x14ac:dyDescent="0.3">
      <c r="C30" s="95">
        <v>80.819999999999993</v>
      </c>
      <c r="D30" s="88">
        <f t="shared" si="0"/>
        <v>4.4555470628809095E-3</v>
      </c>
      <c r="E30" s="53"/>
    </row>
    <row r="31" spans="1:5" ht="15.75" customHeight="1" x14ac:dyDescent="0.3">
      <c r="C31" s="95">
        <v>80.84</v>
      </c>
      <c r="D31" s="88">
        <f t="shared" si="0"/>
        <v>4.7041131472816498E-3</v>
      </c>
      <c r="E31" s="53"/>
    </row>
    <row r="32" spans="1:5" ht="15.75" customHeight="1" x14ac:dyDescent="0.3">
      <c r="C32" s="95">
        <v>81.22</v>
      </c>
      <c r="D32" s="88">
        <f t="shared" si="0"/>
        <v>9.4268687508932587E-3</v>
      </c>
      <c r="E32" s="53"/>
    </row>
    <row r="33" spans="1:7" ht="15.75" customHeight="1" x14ac:dyDescent="0.3">
      <c r="C33" s="95">
        <v>81.48</v>
      </c>
      <c r="D33" s="88">
        <f t="shared" si="0"/>
        <v>1.2658227848101304E-2</v>
      </c>
      <c r="E33" s="53"/>
    </row>
    <row r="34" spans="1:7" ht="15.75" customHeight="1" x14ac:dyDescent="0.3">
      <c r="C34" s="95">
        <v>80.78</v>
      </c>
      <c r="D34" s="88">
        <f t="shared" si="0"/>
        <v>3.9584148940797802E-3</v>
      </c>
      <c r="E34" s="53"/>
    </row>
    <row r="35" spans="1:7" ht="15.75" customHeight="1" x14ac:dyDescent="0.3">
      <c r="C35" s="95">
        <v>79.569999999999993</v>
      </c>
      <c r="D35" s="88">
        <f t="shared" si="0"/>
        <v>-1.1079833212157462E-2</v>
      </c>
      <c r="E35" s="53"/>
    </row>
    <row r="36" spans="1:7" ht="15.75" customHeight="1" x14ac:dyDescent="0.3">
      <c r="C36" s="95">
        <v>80.88</v>
      </c>
      <c r="D36" s="88">
        <f t="shared" si="0"/>
        <v>5.201245316082779E-3</v>
      </c>
      <c r="E36" s="53"/>
    </row>
    <row r="37" spans="1:7" ht="15.75" customHeight="1" x14ac:dyDescent="0.3">
      <c r="C37" s="95">
        <v>80.680000000000007</v>
      </c>
      <c r="D37" s="88">
        <f t="shared" si="0"/>
        <v>2.7155844720767809E-3</v>
      </c>
      <c r="E37" s="53"/>
    </row>
    <row r="38" spans="1:7" ht="15.75" customHeight="1" x14ac:dyDescent="0.3">
      <c r="C38" s="95">
        <v>79.510000000000005</v>
      </c>
      <c r="D38" s="88">
        <f t="shared" si="0"/>
        <v>-1.1825531465359156E-2</v>
      </c>
      <c r="E38" s="53"/>
    </row>
    <row r="39" spans="1:7" ht="15.75" customHeight="1" x14ac:dyDescent="0.3">
      <c r="C39" s="95">
        <v>81.010000000000005</v>
      </c>
      <c r="D39" s="88">
        <f t="shared" si="0"/>
        <v>6.81692486468689E-3</v>
      </c>
      <c r="E39" s="53"/>
    </row>
    <row r="40" spans="1:7" ht="15.75" customHeight="1" x14ac:dyDescent="0.3">
      <c r="C40" s="95">
        <v>80.14</v>
      </c>
      <c r="D40" s="88">
        <f t="shared" si="0"/>
        <v>-3.9956998067398738E-3</v>
      </c>
      <c r="E40" s="53"/>
    </row>
    <row r="41" spans="1:7" ht="15.75" customHeight="1" x14ac:dyDescent="0.3">
      <c r="C41" s="95">
        <v>80.790000000000006</v>
      </c>
      <c r="D41" s="88">
        <f t="shared" si="0"/>
        <v>4.0826979362801503E-3</v>
      </c>
      <c r="E41" s="53"/>
    </row>
    <row r="42" spans="1:7" ht="15.75" customHeight="1" x14ac:dyDescent="0.3">
      <c r="C42" s="95">
        <v>80.25</v>
      </c>
      <c r="D42" s="88">
        <f t="shared" si="0"/>
        <v>-2.628586342536504E-3</v>
      </c>
      <c r="E42" s="53"/>
    </row>
    <row r="43" spans="1:7" ht="16.5" customHeight="1" x14ac:dyDescent="0.3">
      <c r="C43" s="96">
        <v>81.099999999999994</v>
      </c>
      <c r="D43" s="89">
        <f t="shared" si="0"/>
        <v>7.9354722444895179E-3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1609.23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80.461500000000001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97">
        <f>C46</f>
        <v>80.461500000000001</v>
      </c>
      <c r="C49" s="93">
        <f>-IF(C46&lt;=80,10%,IF(C46&lt;250,7.5%,5%))</f>
        <v>-7.4999999999999997E-2</v>
      </c>
      <c r="D49" s="81">
        <f>IF(C46&lt;=80,C46*0.9,IF(C46&lt;250,C46*0.925,C46*0.95))</f>
        <v>74.426887500000007</v>
      </c>
    </row>
    <row r="50" spans="1:6" ht="17.25" customHeight="1" x14ac:dyDescent="0.3">
      <c r="B50" s="298"/>
      <c r="C50" s="94">
        <f>IF(C46&lt;=80, 10%, IF(C46&lt;250, 7.5%, 5%))</f>
        <v>7.4999999999999997E-2</v>
      </c>
      <c r="D50" s="81">
        <f>IF(C46&lt;=80, C46*1.1, IF(C46&lt;250, C46*1.075, C46*1.05))</f>
        <v>86.496112499999995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topLeftCell="A43" zoomScale="70" zoomScaleNormal="70" workbookViewId="0">
      <selection activeCell="D122" sqref="D122"/>
    </sheetView>
  </sheetViews>
  <sheetFormatPr defaultRowHeight="12.75" x14ac:dyDescent="0.2"/>
  <cols>
    <col min="1" max="1" width="54.85546875" style="44" customWidth="1"/>
    <col min="2" max="2" width="39.42578125" style="44" customWidth="1"/>
    <col min="3" max="3" width="42.5703125" style="44" customWidth="1"/>
    <col min="4" max="4" width="29.28515625" style="44" customWidth="1"/>
    <col min="5" max="5" width="28.28515625" style="44" customWidth="1"/>
    <col min="6" max="6" width="29.140625" style="44" customWidth="1"/>
    <col min="7" max="7" width="26" style="44" customWidth="1"/>
    <col min="8" max="8" width="24.140625" style="44" customWidth="1"/>
    <col min="9" max="9" width="20.85546875" style="44" customWidth="1"/>
    <col min="10" max="10" width="20.5703125" style="44" customWidth="1"/>
    <col min="11" max="16384" width="9.140625" style="44"/>
  </cols>
  <sheetData>
    <row r="1" spans="1:7" x14ac:dyDescent="0.2">
      <c r="A1" s="326" t="s">
        <v>45</v>
      </c>
      <c r="B1" s="326"/>
      <c r="C1" s="326"/>
      <c r="D1" s="326"/>
      <c r="E1" s="326"/>
      <c r="F1" s="326"/>
      <c r="G1" s="326"/>
    </row>
    <row r="2" spans="1:7" x14ac:dyDescent="0.2">
      <c r="A2" s="326"/>
      <c r="B2" s="326"/>
      <c r="C2" s="326"/>
      <c r="D2" s="326"/>
      <c r="E2" s="326"/>
      <c r="F2" s="326"/>
      <c r="G2" s="326"/>
    </row>
    <row r="3" spans="1:7" x14ac:dyDescent="0.2">
      <c r="A3" s="326"/>
      <c r="B3" s="326"/>
      <c r="C3" s="326"/>
      <c r="D3" s="326"/>
      <c r="E3" s="326"/>
      <c r="F3" s="326"/>
      <c r="G3" s="326"/>
    </row>
    <row r="4" spans="1:7" x14ac:dyDescent="0.2">
      <c r="A4" s="326"/>
      <c r="B4" s="326"/>
      <c r="C4" s="326"/>
      <c r="D4" s="326"/>
      <c r="E4" s="326"/>
      <c r="F4" s="326"/>
      <c r="G4" s="326"/>
    </row>
    <row r="5" spans="1:7" x14ac:dyDescent="0.2">
      <c r="A5" s="326"/>
      <c r="B5" s="326"/>
      <c r="C5" s="326"/>
      <c r="D5" s="326"/>
      <c r="E5" s="326"/>
      <c r="F5" s="326"/>
      <c r="G5" s="326"/>
    </row>
    <row r="6" spans="1:7" x14ac:dyDescent="0.2">
      <c r="A6" s="326"/>
      <c r="B6" s="326"/>
      <c r="C6" s="326"/>
      <c r="D6" s="326"/>
      <c r="E6" s="326"/>
      <c r="F6" s="326"/>
      <c r="G6" s="326"/>
    </row>
    <row r="7" spans="1:7" x14ac:dyDescent="0.2">
      <c r="A7" s="326"/>
      <c r="B7" s="326"/>
      <c r="C7" s="326"/>
      <c r="D7" s="326"/>
      <c r="E7" s="326"/>
      <c r="F7" s="326"/>
      <c r="G7" s="326"/>
    </row>
    <row r="8" spans="1:7" x14ac:dyDescent="0.2">
      <c r="A8" s="327" t="s">
        <v>46</v>
      </c>
      <c r="B8" s="327"/>
      <c r="C8" s="327"/>
      <c r="D8" s="327"/>
      <c r="E8" s="327"/>
      <c r="F8" s="327"/>
      <c r="G8" s="327"/>
    </row>
    <row r="9" spans="1:7" x14ac:dyDescent="0.2">
      <c r="A9" s="327"/>
      <c r="B9" s="327"/>
      <c r="C9" s="327"/>
      <c r="D9" s="327"/>
      <c r="E9" s="327"/>
      <c r="F9" s="327"/>
      <c r="G9" s="327"/>
    </row>
    <row r="10" spans="1:7" x14ac:dyDescent="0.2">
      <c r="A10" s="327"/>
      <c r="B10" s="327"/>
      <c r="C10" s="327"/>
      <c r="D10" s="327"/>
      <c r="E10" s="327"/>
      <c r="F10" s="327"/>
      <c r="G10" s="327"/>
    </row>
    <row r="11" spans="1:7" x14ac:dyDescent="0.2">
      <c r="A11" s="327"/>
      <c r="B11" s="327"/>
      <c r="C11" s="327"/>
      <c r="D11" s="327"/>
      <c r="E11" s="327"/>
      <c r="F11" s="327"/>
      <c r="G11" s="327"/>
    </row>
    <row r="12" spans="1:7" x14ac:dyDescent="0.2">
      <c r="A12" s="327"/>
      <c r="B12" s="327"/>
      <c r="C12" s="327"/>
      <c r="D12" s="327"/>
      <c r="E12" s="327"/>
      <c r="F12" s="327"/>
      <c r="G12" s="327"/>
    </row>
    <row r="13" spans="1:7" x14ac:dyDescent="0.2">
      <c r="A13" s="327"/>
      <c r="B13" s="327"/>
      <c r="C13" s="327"/>
      <c r="D13" s="327"/>
      <c r="E13" s="327"/>
      <c r="F13" s="327"/>
      <c r="G13" s="327"/>
    </row>
    <row r="14" spans="1:7" x14ac:dyDescent="0.2">
      <c r="A14" s="327"/>
      <c r="B14" s="327"/>
      <c r="C14" s="327"/>
      <c r="D14" s="327"/>
      <c r="E14" s="327"/>
      <c r="F14" s="327"/>
      <c r="G14" s="327"/>
    </row>
    <row r="15" spans="1:7" ht="19.5" customHeight="1" thickBot="1" x14ac:dyDescent="0.35">
      <c r="A15" s="202"/>
      <c r="B15" s="202"/>
      <c r="C15" s="202"/>
      <c r="D15" s="202"/>
      <c r="E15" s="202"/>
      <c r="F15" s="202"/>
      <c r="G15" s="202"/>
    </row>
    <row r="16" spans="1:7" ht="19.5" customHeight="1" thickBot="1" x14ac:dyDescent="0.35">
      <c r="A16" s="328" t="s">
        <v>31</v>
      </c>
      <c r="B16" s="329"/>
      <c r="C16" s="329"/>
      <c r="D16" s="329"/>
      <c r="E16" s="329"/>
      <c r="F16" s="329"/>
      <c r="G16" s="329"/>
    </row>
    <row r="17" spans="1:7" ht="18.75" customHeight="1" x14ac:dyDescent="0.3">
      <c r="A17" s="99" t="s">
        <v>47</v>
      </c>
      <c r="B17" s="99"/>
      <c r="C17" s="202"/>
      <c r="D17" s="202"/>
      <c r="E17" s="202"/>
      <c r="F17" s="202"/>
      <c r="G17" s="202"/>
    </row>
    <row r="18" spans="1:7" ht="26.25" customHeight="1" x14ac:dyDescent="0.4">
      <c r="A18" s="100" t="s">
        <v>33</v>
      </c>
      <c r="B18" s="325" t="s">
        <v>5</v>
      </c>
      <c r="C18" s="325"/>
      <c r="D18" s="101"/>
      <c r="E18" s="101"/>
      <c r="F18" s="202"/>
      <c r="G18" s="202"/>
    </row>
    <row r="19" spans="1:7" ht="26.25" customHeight="1" x14ac:dyDescent="0.4">
      <c r="A19" s="100" t="s">
        <v>34</v>
      </c>
      <c r="B19" s="277" t="s">
        <v>7</v>
      </c>
      <c r="C19" s="202">
        <v>12</v>
      </c>
      <c r="E19" s="202"/>
      <c r="F19" s="202"/>
      <c r="G19" s="202"/>
    </row>
    <row r="20" spans="1:7" ht="26.25" customHeight="1" x14ac:dyDescent="0.4">
      <c r="A20" s="100" t="s">
        <v>35</v>
      </c>
      <c r="B20" s="330" t="s">
        <v>9</v>
      </c>
      <c r="C20" s="330"/>
      <c r="D20" s="202"/>
      <c r="E20" s="202"/>
      <c r="F20" s="202"/>
      <c r="G20" s="202"/>
    </row>
    <row r="21" spans="1:7" ht="26.25" customHeight="1" x14ac:dyDescent="0.4">
      <c r="A21" s="100" t="s">
        <v>36</v>
      </c>
      <c r="B21" s="102" t="s">
        <v>128</v>
      </c>
      <c r="C21" s="102"/>
      <c r="D21" s="103"/>
      <c r="E21" s="103"/>
      <c r="F21" s="103"/>
      <c r="G21" s="103"/>
    </row>
    <row r="22" spans="1:7" ht="26.25" customHeight="1" x14ac:dyDescent="0.4">
      <c r="A22" s="100" t="s">
        <v>37</v>
      </c>
      <c r="B22" s="104" t="s">
        <v>131</v>
      </c>
      <c r="C22" s="105"/>
      <c r="D22" s="202"/>
      <c r="E22" s="202"/>
      <c r="F22" s="202"/>
      <c r="G22" s="202"/>
    </row>
    <row r="23" spans="1:7" ht="26.25" customHeight="1" x14ac:dyDescent="0.4">
      <c r="A23" s="100" t="s">
        <v>38</v>
      </c>
      <c r="B23" s="104" t="s">
        <v>129</v>
      </c>
      <c r="C23" s="105"/>
      <c r="D23" s="202"/>
      <c r="E23" s="202"/>
      <c r="F23" s="202"/>
      <c r="G23" s="202"/>
    </row>
    <row r="24" spans="1:7" ht="18.75" customHeight="1" x14ac:dyDescent="0.3">
      <c r="A24" s="100"/>
      <c r="B24" s="106"/>
      <c r="C24" s="202"/>
      <c r="D24" s="202"/>
      <c r="E24" s="202"/>
      <c r="F24" s="202"/>
      <c r="G24" s="202"/>
    </row>
    <row r="25" spans="1:7" ht="18.75" customHeight="1" x14ac:dyDescent="0.3">
      <c r="A25" s="206" t="s">
        <v>1</v>
      </c>
      <c r="B25" s="106"/>
      <c r="C25" s="202"/>
      <c r="D25" s="202"/>
      <c r="E25" s="202"/>
      <c r="F25" s="202"/>
      <c r="G25" s="202"/>
    </row>
    <row r="26" spans="1:7" ht="26.25" customHeight="1" x14ac:dyDescent="0.4">
      <c r="A26" s="270" t="s">
        <v>4</v>
      </c>
      <c r="B26" s="325" t="s">
        <v>126</v>
      </c>
      <c r="C26" s="325"/>
      <c r="D26" s="202"/>
      <c r="E26" s="202"/>
      <c r="F26" s="202"/>
      <c r="G26" s="202"/>
    </row>
    <row r="27" spans="1:7" ht="26.25" customHeight="1" x14ac:dyDescent="0.4">
      <c r="A27" s="201" t="s">
        <v>48</v>
      </c>
      <c r="B27" s="318" t="s">
        <v>127</v>
      </c>
      <c r="C27" s="318"/>
      <c r="D27" s="202"/>
      <c r="E27" s="202"/>
      <c r="F27" s="202"/>
      <c r="G27" s="202"/>
    </row>
    <row r="28" spans="1:7" ht="27" customHeight="1" thickBot="1" x14ac:dyDescent="0.45">
      <c r="A28" s="201" t="s">
        <v>6</v>
      </c>
      <c r="B28" s="167">
        <v>99.7</v>
      </c>
      <c r="C28" s="202"/>
      <c r="D28" s="202"/>
      <c r="E28" s="202"/>
      <c r="F28" s="202"/>
      <c r="G28" s="202"/>
    </row>
    <row r="29" spans="1:7" ht="27" customHeight="1" thickBot="1" x14ac:dyDescent="0.45">
      <c r="A29" s="201" t="s">
        <v>49</v>
      </c>
      <c r="B29" s="111">
        <v>0</v>
      </c>
      <c r="C29" s="310" t="s">
        <v>104</v>
      </c>
      <c r="D29" s="311"/>
      <c r="E29" s="311"/>
      <c r="F29" s="311"/>
      <c r="G29" s="319"/>
    </row>
    <row r="30" spans="1:7" ht="19.5" customHeight="1" thickBot="1" x14ac:dyDescent="0.35">
      <c r="A30" s="201" t="s">
        <v>51</v>
      </c>
      <c r="B30" s="281">
        <f>B28-B29</f>
        <v>99.7</v>
      </c>
      <c r="C30" s="212"/>
      <c r="D30" s="212"/>
      <c r="E30" s="212"/>
      <c r="F30" s="212"/>
      <c r="G30" s="212"/>
    </row>
    <row r="31" spans="1:7" ht="27" customHeight="1" thickBot="1" x14ac:dyDescent="0.45">
      <c r="A31" s="201" t="s">
        <v>52</v>
      </c>
      <c r="B31" s="115">
        <v>1</v>
      </c>
      <c r="C31" s="310" t="s">
        <v>53</v>
      </c>
      <c r="D31" s="311"/>
      <c r="E31" s="311"/>
      <c r="F31" s="311"/>
      <c r="G31" s="319"/>
    </row>
    <row r="32" spans="1:7" ht="27" customHeight="1" thickBot="1" x14ac:dyDescent="0.45">
      <c r="A32" s="201" t="s">
        <v>54</v>
      </c>
      <c r="B32" s="115">
        <v>1</v>
      </c>
      <c r="C32" s="310" t="s">
        <v>55</v>
      </c>
      <c r="D32" s="311"/>
      <c r="E32" s="311"/>
      <c r="F32" s="311"/>
      <c r="G32" s="319"/>
    </row>
    <row r="33" spans="1:7" ht="18.75" customHeight="1" x14ac:dyDescent="0.3">
      <c r="A33" s="201"/>
      <c r="B33" s="116"/>
      <c r="C33" s="117"/>
      <c r="D33" s="117"/>
      <c r="E33" s="117"/>
      <c r="F33" s="117"/>
      <c r="G33" s="117"/>
    </row>
    <row r="34" spans="1:7" ht="18.75" customHeight="1" x14ac:dyDescent="0.3">
      <c r="A34" s="201" t="s">
        <v>56</v>
      </c>
      <c r="B34" s="118">
        <f>B31/B32</f>
        <v>1</v>
      </c>
      <c r="C34" s="202" t="s">
        <v>57</v>
      </c>
      <c r="D34" s="202"/>
      <c r="E34" s="202"/>
      <c r="F34" s="202"/>
      <c r="G34" s="202"/>
    </row>
    <row r="35" spans="1:7" ht="19.5" customHeight="1" thickBot="1" x14ac:dyDescent="0.35">
      <c r="A35" s="201"/>
      <c r="B35" s="281"/>
      <c r="C35" s="112"/>
      <c r="D35" s="112"/>
      <c r="E35" s="112"/>
      <c r="F35" s="112"/>
      <c r="G35" s="202"/>
    </row>
    <row r="36" spans="1:7" ht="27" customHeight="1" thickBot="1" x14ac:dyDescent="0.45">
      <c r="A36" s="119" t="s">
        <v>105</v>
      </c>
      <c r="B36" s="120">
        <v>20</v>
      </c>
      <c r="C36" s="202"/>
      <c r="D36" s="312" t="s">
        <v>58</v>
      </c>
      <c r="E36" s="320"/>
      <c r="F36" s="312" t="s">
        <v>59</v>
      </c>
      <c r="G36" s="313"/>
    </row>
    <row r="37" spans="1:7" ht="26.25" customHeight="1" x14ac:dyDescent="0.4">
      <c r="A37" s="121" t="s">
        <v>60</v>
      </c>
      <c r="B37" s="122">
        <v>4</v>
      </c>
      <c r="C37" s="123" t="s">
        <v>61</v>
      </c>
      <c r="D37" s="124" t="s">
        <v>62</v>
      </c>
      <c r="E37" s="125" t="s">
        <v>63</v>
      </c>
      <c r="F37" s="124" t="s">
        <v>62</v>
      </c>
      <c r="G37" s="126" t="s">
        <v>63</v>
      </c>
    </row>
    <row r="38" spans="1:7" ht="26.25" customHeight="1" x14ac:dyDescent="0.4">
      <c r="A38" s="121" t="s">
        <v>64</v>
      </c>
      <c r="B38" s="122">
        <v>100</v>
      </c>
      <c r="C38" s="127">
        <v>1</v>
      </c>
      <c r="D38" s="128">
        <v>5001090</v>
      </c>
      <c r="E38" s="129">
        <f>IF(ISBLANK(D38),"-",$D$48/$D$45*D38)</f>
        <v>6228648.6944276532</v>
      </c>
      <c r="F38" s="128">
        <v>5090047</v>
      </c>
      <c r="G38" s="130">
        <f>IF(ISBLANK(F38),"-",$D$48/$F$45*F38)</f>
        <v>6248404.5642148387</v>
      </c>
    </row>
    <row r="39" spans="1:7" ht="26.25" customHeight="1" x14ac:dyDescent="0.4">
      <c r="A39" s="121" t="s">
        <v>65</v>
      </c>
      <c r="B39" s="122">
        <v>1</v>
      </c>
      <c r="C39" s="259">
        <v>2</v>
      </c>
      <c r="D39" s="132">
        <v>4993898</v>
      </c>
      <c r="E39" s="133">
        <f>IF(ISBLANK(D39),"-",$D$48/$D$45*D39)</f>
        <v>6219691.3588447459</v>
      </c>
      <c r="F39" s="132">
        <v>5112652</v>
      </c>
      <c r="G39" s="134">
        <f>IF(ISBLANK(F39),"-",$D$48/$F$45*F39)</f>
        <v>6276153.8532045232</v>
      </c>
    </row>
    <row r="40" spans="1:7" ht="26.25" customHeight="1" x14ac:dyDescent="0.4">
      <c r="A40" s="121" t="s">
        <v>66</v>
      </c>
      <c r="B40" s="122">
        <v>1</v>
      </c>
      <c r="C40" s="259">
        <v>3</v>
      </c>
      <c r="D40" s="132">
        <v>5006035</v>
      </c>
      <c r="E40" s="133">
        <f>IF(ISBLANK(D40),"-",$D$48/$D$45*D40)</f>
        <v>6234807.4853700167</v>
      </c>
      <c r="F40" s="132">
        <v>5115839</v>
      </c>
      <c r="G40" s="134">
        <f>IF(ISBLANK(F40),"-",$D$48/$F$45*F40)</f>
        <v>6280066.1285422854</v>
      </c>
    </row>
    <row r="41" spans="1:7" ht="26.25" customHeight="1" x14ac:dyDescent="0.4">
      <c r="A41" s="121" t="s">
        <v>67</v>
      </c>
      <c r="B41" s="122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</row>
    <row r="42" spans="1:7" ht="27" customHeight="1" thickBot="1" x14ac:dyDescent="0.45">
      <c r="A42" s="121" t="s">
        <v>68</v>
      </c>
      <c r="B42" s="122">
        <v>1</v>
      </c>
      <c r="C42" s="139" t="s">
        <v>69</v>
      </c>
      <c r="D42" s="140">
        <f>AVERAGE(D38:D41)</f>
        <v>5000341</v>
      </c>
      <c r="E42" s="141">
        <f>AVERAGE(E38:E41)</f>
        <v>6227715.8462141389</v>
      </c>
      <c r="F42" s="140">
        <f>AVERAGE(F38:F41)</f>
        <v>5106179.333333333</v>
      </c>
      <c r="G42" s="142">
        <f>AVERAGE(G38:G41)</f>
        <v>6268208.1819872158</v>
      </c>
    </row>
    <row r="43" spans="1:7" ht="26.25" customHeight="1" x14ac:dyDescent="0.4">
      <c r="A43" s="121" t="s">
        <v>70</v>
      </c>
      <c r="B43" s="122">
        <v>1</v>
      </c>
      <c r="C43" s="143" t="s">
        <v>96</v>
      </c>
      <c r="D43" s="144">
        <v>15.1</v>
      </c>
      <c r="E43" s="202"/>
      <c r="F43" s="144">
        <v>15.32</v>
      </c>
      <c r="G43" s="202"/>
    </row>
    <row r="44" spans="1:7" ht="26.25" customHeight="1" x14ac:dyDescent="0.4">
      <c r="A44" s="121" t="s">
        <v>71</v>
      </c>
      <c r="B44" s="122">
        <v>1</v>
      </c>
      <c r="C44" s="146" t="s">
        <v>97</v>
      </c>
      <c r="D44" s="147">
        <f>D43*$B$34</f>
        <v>15.1</v>
      </c>
      <c r="E44" s="255"/>
      <c r="F44" s="147">
        <f>F43*$B$34</f>
        <v>15.32</v>
      </c>
      <c r="G44" s="202"/>
    </row>
    <row r="45" spans="1:7" ht="19.5" customHeight="1" thickBot="1" x14ac:dyDescent="0.35">
      <c r="A45" s="121" t="s">
        <v>72</v>
      </c>
      <c r="B45" s="149">
        <f>(B44/B43)*(B42/B41)*(B40/B39)*(B38/B37)*B36</f>
        <v>500</v>
      </c>
      <c r="C45" s="146" t="s">
        <v>73</v>
      </c>
      <c r="D45" s="150">
        <f>D44*$B$30/100</f>
        <v>15.0547</v>
      </c>
      <c r="E45" s="151"/>
      <c r="F45" s="150">
        <f>F44*$B$30/100</f>
        <v>15.274039999999999</v>
      </c>
      <c r="G45" s="202"/>
    </row>
    <row r="46" spans="1:7" ht="19.5" customHeight="1" thickBot="1" x14ac:dyDescent="0.35">
      <c r="A46" s="314" t="s">
        <v>74</v>
      </c>
      <c r="B46" s="315"/>
      <c r="C46" s="146" t="s">
        <v>75</v>
      </c>
      <c r="D46" s="147">
        <f>D45/$B$45</f>
        <v>3.0109400000000001E-2</v>
      </c>
      <c r="E46" s="151"/>
      <c r="F46" s="152">
        <f>F45/$B$45</f>
        <v>3.0548079999999998E-2</v>
      </c>
      <c r="G46" s="202"/>
    </row>
    <row r="47" spans="1:7" ht="27" customHeight="1" thickBot="1" x14ac:dyDescent="0.45">
      <c r="A47" s="316"/>
      <c r="B47" s="317"/>
      <c r="C47" s="153" t="s">
        <v>106</v>
      </c>
      <c r="D47" s="154">
        <v>3.7499999999999999E-2</v>
      </c>
      <c r="E47" s="202"/>
      <c r="F47" s="155"/>
      <c r="G47" s="202"/>
    </row>
    <row r="48" spans="1:7" ht="18.75" customHeight="1" x14ac:dyDescent="0.3">
      <c r="A48" s="202"/>
      <c r="B48" s="202"/>
      <c r="C48" s="156" t="s">
        <v>76</v>
      </c>
      <c r="D48" s="150">
        <f>D47*$B$45</f>
        <v>18.75</v>
      </c>
      <c r="E48" s="202"/>
      <c r="F48" s="155"/>
      <c r="G48" s="202"/>
    </row>
    <row r="49" spans="1:7" ht="19.5" customHeight="1" thickBot="1" x14ac:dyDescent="0.35">
      <c r="A49" s="202"/>
      <c r="B49" s="202"/>
      <c r="C49" s="201" t="s">
        <v>77</v>
      </c>
      <c r="D49" s="158">
        <f>D48/B34</f>
        <v>18.75</v>
      </c>
      <c r="E49" s="202"/>
      <c r="F49" s="155"/>
      <c r="G49" s="202"/>
    </row>
    <row r="50" spans="1:7" ht="18.75" customHeight="1" x14ac:dyDescent="0.3">
      <c r="A50" s="202"/>
      <c r="B50" s="202"/>
      <c r="C50" s="119" t="s">
        <v>78</v>
      </c>
      <c r="D50" s="159">
        <f>AVERAGE(E38:E41,G38:G41)</f>
        <v>6247962.0141006773</v>
      </c>
      <c r="E50" s="202"/>
      <c r="F50" s="160"/>
      <c r="G50" s="202"/>
    </row>
    <row r="51" spans="1:7" ht="18.75" customHeight="1" x14ac:dyDescent="0.3">
      <c r="A51" s="202"/>
      <c r="B51" s="202"/>
      <c r="C51" s="121" t="s">
        <v>79</v>
      </c>
      <c r="D51" s="161">
        <f>STDEV(E38:E41,G38:G41)/D50</f>
        <v>4.0305995325002003E-3</v>
      </c>
      <c r="E51" s="202"/>
      <c r="F51" s="160"/>
      <c r="G51" s="202"/>
    </row>
    <row r="52" spans="1:7" ht="19.5" customHeight="1" thickBot="1" x14ac:dyDescent="0.35">
      <c r="A52" s="202"/>
      <c r="B52" s="202"/>
      <c r="C52" s="162" t="s">
        <v>20</v>
      </c>
      <c r="D52" s="163">
        <f>COUNT(E38:E41,G38:G41)</f>
        <v>6</v>
      </c>
      <c r="E52" s="202"/>
      <c r="F52" s="160"/>
      <c r="G52" s="202"/>
    </row>
    <row r="53" spans="1:7" ht="18.75" customHeight="1" x14ac:dyDescent="0.3">
      <c r="A53" s="202"/>
      <c r="B53" s="202"/>
      <c r="C53" s="202"/>
      <c r="D53" s="202"/>
      <c r="E53" s="202"/>
      <c r="F53" s="202"/>
      <c r="G53" s="202"/>
    </row>
    <row r="54" spans="1:7" ht="18.75" customHeight="1" x14ac:dyDescent="0.3">
      <c r="A54" s="99" t="s">
        <v>1</v>
      </c>
      <c r="B54" s="164" t="s">
        <v>80</v>
      </c>
      <c r="C54" s="202"/>
      <c r="D54" s="202"/>
      <c r="E54" s="202"/>
      <c r="F54" s="202"/>
      <c r="G54" s="202"/>
    </row>
    <row r="55" spans="1:7" ht="18.75" customHeight="1" x14ac:dyDescent="0.3">
      <c r="A55" s="202" t="s">
        <v>81</v>
      </c>
      <c r="B55" s="166" t="str">
        <f>B21</f>
        <v>Each light orange tablet (21) contains: Levonorgesterl USP 0.15mg</v>
      </c>
      <c r="C55" s="202"/>
      <c r="D55" s="202"/>
      <c r="E55" s="202"/>
      <c r="F55" s="202"/>
      <c r="G55" s="202"/>
    </row>
    <row r="56" spans="1:7" ht="26.25" customHeight="1" x14ac:dyDescent="0.4">
      <c r="A56" s="166" t="s">
        <v>82</v>
      </c>
      <c r="B56" s="167">
        <v>0.15</v>
      </c>
      <c r="C56" s="202" t="str">
        <f>B20</f>
        <v>Levonorgestrel 0.15mg,Ethinylestradiol 0.03mg.</v>
      </c>
      <c r="D56" s="202"/>
      <c r="E56" s="202"/>
      <c r="F56" s="202"/>
      <c r="G56" s="202"/>
    </row>
    <row r="57" spans="1:7" ht="17.25" customHeight="1" thickBot="1" x14ac:dyDescent="0.35">
      <c r="A57" s="168" t="s">
        <v>83</v>
      </c>
      <c r="B57" s="168">
        <f>Uniformity!C46</f>
        <v>80.461500000000001</v>
      </c>
      <c r="C57" s="168"/>
      <c r="D57" s="169"/>
      <c r="E57" s="169"/>
      <c r="F57" s="169"/>
      <c r="G57" s="169"/>
    </row>
    <row r="58" spans="1:7" ht="57.75" customHeight="1" x14ac:dyDescent="0.4">
      <c r="A58" s="119" t="s">
        <v>107</v>
      </c>
      <c r="B58" s="120">
        <v>5</v>
      </c>
      <c r="C58" s="170" t="s">
        <v>108</v>
      </c>
      <c r="D58" s="171" t="s">
        <v>109</v>
      </c>
      <c r="E58" s="172" t="s">
        <v>110</v>
      </c>
      <c r="F58" s="173" t="s">
        <v>111</v>
      </c>
      <c r="G58" s="174" t="s">
        <v>112</v>
      </c>
    </row>
    <row r="59" spans="1:7" ht="26.25" customHeight="1" x14ac:dyDescent="0.4">
      <c r="A59" s="121" t="s">
        <v>60</v>
      </c>
      <c r="B59" s="122">
        <v>1</v>
      </c>
      <c r="C59" s="175">
        <v>1</v>
      </c>
      <c r="D59" s="284">
        <v>5021485</v>
      </c>
      <c r="E59" s="247">
        <f t="shared" ref="E59:E68" si="0">IF(ISBLANK(D59),"-",D59/$D$50*$D$47*$B$67)</f>
        <v>0.15069368785775536</v>
      </c>
      <c r="F59" s="177">
        <f t="shared" ref="F59:F68" si="1">IF(ISBLANK(D59),"-",E59/$E$70*100)</f>
        <v>99.137402323010591</v>
      </c>
      <c r="G59" s="178">
        <f t="shared" ref="G59:G68" si="2">IF(ISBLANK(D59),"-",E59/$B$56*100)</f>
        <v>100.4624585718369</v>
      </c>
    </row>
    <row r="60" spans="1:7" ht="26.25" customHeight="1" x14ac:dyDescent="0.4">
      <c r="A60" s="121" t="s">
        <v>64</v>
      </c>
      <c r="B60" s="122">
        <v>1</v>
      </c>
      <c r="C60" s="189">
        <v>2</v>
      </c>
      <c r="D60" s="285">
        <v>5047978</v>
      </c>
      <c r="E60" s="249">
        <f t="shared" si="0"/>
        <v>0.15148873710562039</v>
      </c>
      <c r="F60" s="181">
        <f t="shared" si="1"/>
        <v>99.660444251791318</v>
      </c>
      <c r="G60" s="182">
        <f t="shared" si="2"/>
        <v>100.99249140374693</v>
      </c>
    </row>
    <row r="61" spans="1:7" ht="26.25" customHeight="1" x14ac:dyDescent="0.4">
      <c r="A61" s="121" t="s">
        <v>65</v>
      </c>
      <c r="B61" s="122">
        <v>1</v>
      </c>
      <c r="C61" s="189">
        <v>3</v>
      </c>
      <c r="D61" s="285">
        <v>5056970</v>
      </c>
      <c r="E61" s="249">
        <f t="shared" si="0"/>
        <v>0.15175858509704462</v>
      </c>
      <c r="F61" s="181">
        <f t="shared" si="1"/>
        <v>99.837970127441366</v>
      </c>
      <c r="G61" s="182">
        <f t="shared" si="2"/>
        <v>101.17239006469643</v>
      </c>
    </row>
    <row r="62" spans="1:7" ht="26.25" customHeight="1" x14ac:dyDescent="0.4">
      <c r="A62" s="121" t="s">
        <v>66</v>
      </c>
      <c r="B62" s="122">
        <v>1</v>
      </c>
      <c r="C62" s="189">
        <v>4</v>
      </c>
      <c r="D62" s="285">
        <v>5239018</v>
      </c>
      <c r="E62" s="249">
        <f t="shared" si="0"/>
        <v>0.15722180653196449</v>
      </c>
      <c r="F62" s="181">
        <f t="shared" si="1"/>
        <v>103.432079403502</v>
      </c>
      <c r="G62" s="182">
        <f t="shared" si="2"/>
        <v>104.81453768797633</v>
      </c>
    </row>
    <row r="63" spans="1:7" ht="26.25" customHeight="1" x14ac:dyDescent="0.4">
      <c r="A63" s="121" t="s">
        <v>67</v>
      </c>
      <c r="B63" s="122">
        <v>1</v>
      </c>
      <c r="C63" s="189">
        <v>5</v>
      </c>
      <c r="D63" s="285">
        <v>5039127</v>
      </c>
      <c r="E63" s="249">
        <f t="shared" si="0"/>
        <v>0.15122312049395492</v>
      </c>
      <c r="F63" s="181">
        <f t="shared" si="1"/>
        <v>99.485702089271484</v>
      </c>
      <c r="G63" s="182">
        <f t="shared" si="2"/>
        <v>100.81541366263662</v>
      </c>
    </row>
    <row r="64" spans="1:7" ht="26.25" customHeight="1" x14ac:dyDescent="0.4">
      <c r="A64" s="121" t="s">
        <v>68</v>
      </c>
      <c r="B64" s="122">
        <v>1</v>
      </c>
      <c r="C64" s="189">
        <v>6</v>
      </c>
      <c r="D64" s="285">
        <v>5032538</v>
      </c>
      <c r="E64" s="249">
        <f t="shared" si="0"/>
        <v>0.15102538601714283</v>
      </c>
      <c r="F64" s="181">
        <f t="shared" si="1"/>
        <v>99.355617792712536</v>
      </c>
      <c r="G64" s="182">
        <f t="shared" si="2"/>
        <v>100.68359067809523</v>
      </c>
    </row>
    <row r="65" spans="1:7" ht="26.25" customHeight="1" x14ac:dyDescent="0.4">
      <c r="A65" s="121" t="s">
        <v>70</v>
      </c>
      <c r="B65" s="122">
        <v>1</v>
      </c>
      <c r="C65" s="189">
        <v>7</v>
      </c>
      <c r="D65" s="285">
        <v>4989458</v>
      </c>
      <c r="E65" s="249">
        <f t="shared" si="0"/>
        <v>0.14973256445680516</v>
      </c>
      <c r="F65" s="181">
        <f t="shared" si="1"/>
        <v>98.505104589531527</v>
      </c>
      <c r="G65" s="182">
        <f t="shared" si="2"/>
        <v>99.821709637870114</v>
      </c>
    </row>
    <row r="66" spans="1:7" ht="26.25" customHeight="1" x14ac:dyDescent="0.4">
      <c r="A66" s="121" t="s">
        <v>71</v>
      </c>
      <c r="B66" s="122">
        <v>1</v>
      </c>
      <c r="C66" s="189">
        <v>8</v>
      </c>
      <c r="D66" s="285">
        <v>5053153</v>
      </c>
      <c r="E66" s="249">
        <f t="shared" si="0"/>
        <v>0.15164403774570273</v>
      </c>
      <c r="F66" s="181">
        <f t="shared" si="1"/>
        <v>99.762612446463137</v>
      </c>
      <c r="G66" s="182">
        <f t="shared" si="2"/>
        <v>101.09602516380183</v>
      </c>
    </row>
    <row r="67" spans="1:7" ht="27" customHeight="1" thickBot="1" x14ac:dyDescent="0.45">
      <c r="A67" s="121" t="s">
        <v>72</v>
      </c>
      <c r="B67" s="149">
        <f>(B66/B65)*(B64/B63)*(B62/B61)*(B60/B59)*B58</f>
        <v>5</v>
      </c>
      <c r="C67" s="189">
        <v>9</v>
      </c>
      <c r="D67" s="285">
        <v>5087109</v>
      </c>
      <c r="E67" s="249">
        <f t="shared" si="0"/>
        <v>0.15266305002292707</v>
      </c>
      <c r="F67" s="181">
        <f t="shared" si="1"/>
        <v>100.43299374468073</v>
      </c>
      <c r="G67" s="182">
        <f t="shared" si="2"/>
        <v>101.7753666819514</v>
      </c>
    </row>
    <row r="68" spans="1:7" ht="27" customHeight="1" thickBot="1" x14ac:dyDescent="0.45">
      <c r="A68" s="314" t="s">
        <v>74</v>
      </c>
      <c r="B68" s="321"/>
      <c r="C68" s="195">
        <v>10</v>
      </c>
      <c r="D68" s="286">
        <v>5084935</v>
      </c>
      <c r="E68" s="184">
        <f t="shared" si="0"/>
        <v>0.15259780874919973</v>
      </c>
      <c r="F68" s="185">
        <f t="shared" si="1"/>
        <v>100.39007323159541</v>
      </c>
      <c r="G68" s="186">
        <f t="shared" si="2"/>
        <v>101.73187249946649</v>
      </c>
    </row>
    <row r="69" spans="1:7" ht="19.5" customHeight="1" thickBot="1" x14ac:dyDescent="0.35">
      <c r="A69" s="316"/>
      <c r="B69" s="322"/>
      <c r="C69" s="189"/>
      <c r="D69" s="151"/>
      <c r="E69" s="202"/>
      <c r="F69" s="169"/>
      <c r="G69" s="188"/>
    </row>
    <row r="70" spans="1:7" ht="26.25" customHeight="1" x14ac:dyDescent="0.4">
      <c r="A70" s="169"/>
      <c r="B70" s="169"/>
      <c r="C70" s="189" t="s">
        <v>113</v>
      </c>
      <c r="D70" s="190"/>
      <c r="E70" s="191">
        <f>AVERAGE(E59:E68)</f>
        <v>0.15200487840781171</v>
      </c>
      <c r="F70" s="191">
        <f>AVERAGE(F59:F68)</f>
        <v>100.00000000000003</v>
      </c>
      <c r="G70" s="192">
        <f>AVERAGE(G59:G68)</f>
        <v>101.33658560520783</v>
      </c>
    </row>
    <row r="71" spans="1:7" ht="26.25" customHeight="1" x14ac:dyDescent="0.4">
      <c r="A71" s="169"/>
      <c r="B71" s="169"/>
      <c r="C71" s="189"/>
      <c r="D71" s="190"/>
      <c r="E71" s="193">
        <f>STDEV(E59:E68)/E70</f>
        <v>1.3323009414724482E-2</v>
      </c>
      <c r="F71" s="193">
        <f>STDEV(F59:F68)/F70</f>
        <v>1.3323009414724472E-2</v>
      </c>
      <c r="G71" s="194">
        <f>STDEV(G59:G68)/G70</f>
        <v>1.3323009414724462E-2</v>
      </c>
    </row>
    <row r="72" spans="1:7" ht="27" customHeight="1" thickBot="1" x14ac:dyDescent="0.45">
      <c r="A72" s="169"/>
      <c r="B72" s="169"/>
      <c r="C72" s="195"/>
      <c r="D72" s="196"/>
      <c r="E72" s="197">
        <f>COUNT(E59:E68)</f>
        <v>10</v>
      </c>
      <c r="F72" s="197">
        <f>COUNT(F59:F68)</f>
        <v>10</v>
      </c>
      <c r="G72" s="198">
        <f>COUNT(G59:G68)</f>
        <v>10</v>
      </c>
    </row>
    <row r="73" spans="1:7" ht="18.75" customHeight="1" x14ac:dyDescent="0.3">
      <c r="A73" s="169"/>
      <c r="B73" s="202"/>
      <c r="C73" s="202"/>
      <c r="D73" s="255"/>
      <c r="E73" s="190"/>
      <c r="F73" s="202"/>
      <c r="G73" s="200"/>
    </row>
    <row r="74" spans="1:7" ht="18.75" customHeight="1" x14ac:dyDescent="0.3">
      <c r="A74" s="270" t="s">
        <v>114</v>
      </c>
      <c r="B74" s="201" t="s">
        <v>92</v>
      </c>
      <c r="C74" s="305" t="str">
        <f>B20</f>
        <v>Levonorgestrel 0.15mg,Ethinylestradiol 0.03mg.</v>
      </c>
      <c r="D74" s="305"/>
      <c r="E74" s="202" t="s">
        <v>93</v>
      </c>
      <c r="F74" s="202"/>
      <c r="G74" s="203">
        <f>G70</f>
        <v>101.33658560520783</v>
      </c>
    </row>
    <row r="75" spans="1:7" ht="18.75" customHeight="1" x14ac:dyDescent="0.3">
      <c r="A75" s="270"/>
      <c r="B75" s="201"/>
      <c r="C75" s="281"/>
      <c r="D75" s="281"/>
      <c r="E75" s="202"/>
      <c r="F75" s="202"/>
      <c r="G75" s="205"/>
    </row>
    <row r="76" spans="1:7" ht="18.75" customHeight="1" x14ac:dyDescent="0.3">
      <c r="A76" s="99" t="s">
        <v>1</v>
      </c>
      <c r="B76" s="206" t="s">
        <v>115</v>
      </c>
      <c r="C76" s="202"/>
      <c r="D76" s="202"/>
      <c r="E76" s="202"/>
      <c r="F76" s="202"/>
      <c r="G76" s="169"/>
    </row>
    <row r="77" spans="1:7" ht="18.75" customHeight="1" x14ac:dyDescent="0.3">
      <c r="A77" s="99"/>
      <c r="B77" s="164"/>
      <c r="C77" s="202"/>
      <c r="D77" s="202"/>
      <c r="E77" s="202"/>
      <c r="F77" s="202"/>
      <c r="G77" s="169"/>
    </row>
    <row r="78" spans="1:7" ht="18.75" customHeight="1" x14ac:dyDescent="0.3">
      <c r="A78" s="169"/>
      <c r="B78" s="323" t="s">
        <v>116</v>
      </c>
      <c r="C78" s="324"/>
      <c r="D78" s="202"/>
      <c r="E78" s="169"/>
      <c r="F78" s="169"/>
      <c r="G78" s="169"/>
    </row>
    <row r="79" spans="1:7" ht="18.75" customHeight="1" x14ac:dyDescent="0.3">
      <c r="A79" s="169"/>
      <c r="B79" s="207" t="s">
        <v>43</v>
      </c>
      <c r="C79" s="208">
        <f>G70</f>
        <v>101.33658560520783</v>
      </c>
      <c r="D79" s="202"/>
      <c r="E79" s="169"/>
      <c r="F79" s="169"/>
      <c r="G79" s="169"/>
    </row>
    <row r="80" spans="1:7" ht="26.25" customHeight="1" x14ac:dyDescent="0.4">
      <c r="A80" s="169"/>
      <c r="B80" s="207" t="s">
        <v>117</v>
      </c>
      <c r="C80" s="209">
        <v>2.4</v>
      </c>
      <c r="D80" s="202"/>
      <c r="E80" s="169"/>
      <c r="F80" s="169"/>
      <c r="G80" s="169"/>
    </row>
    <row r="81" spans="1:7" ht="18.75" customHeight="1" x14ac:dyDescent="0.3">
      <c r="A81" s="169"/>
      <c r="B81" s="207" t="s">
        <v>118</v>
      </c>
      <c r="C81" s="208">
        <f>STDEV(G59:G68)</f>
        <v>1.3501082840742153</v>
      </c>
      <c r="D81" s="202"/>
      <c r="E81" s="169"/>
      <c r="F81" s="169"/>
      <c r="G81" s="169"/>
    </row>
    <row r="82" spans="1:7" ht="18.75" customHeight="1" x14ac:dyDescent="0.3">
      <c r="A82" s="169"/>
      <c r="B82" s="207" t="s">
        <v>119</v>
      </c>
      <c r="C82" s="208">
        <f>IF(OR(G70&lt;98.5,G70&gt;101.5),(IF(98.5&gt;G70,98.5,101.5)),C79)</f>
        <v>101.33658560520783</v>
      </c>
      <c r="D82" s="202"/>
      <c r="E82" s="169"/>
      <c r="F82" s="169"/>
      <c r="G82" s="169"/>
    </row>
    <row r="83" spans="1:7" ht="18.75" customHeight="1" x14ac:dyDescent="0.3">
      <c r="A83" s="169"/>
      <c r="B83" s="207" t="s">
        <v>120</v>
      </c>
      <c r="C83" s="210">
        <f>ABS(C82-C79)+(C80*C81)</f>
        <v>3.2402598817781167</v>
      </c>
      <c r="D83" s="202"/>
      <c r="E83" s="169"/>
      <c r="F83" s="169"/>
      <c r="G83" s="169"/>
    </row>
    <row r="84" spans="1:7" ht="18.75" customHeight="1" x14ac:dyDescent="0.3">
      <c r="A84" s="166"/>
      <c r="B84" s="211"/>
      <c r="C84" s="202"/>
      <c r="D84" s="202"/>
      <c r="E84" s="202"/>
      <c r="F84" s="202"/>
      <c r="G84" s="202"/>
    </row>
    <row r="85" spans="1:7" ht="18.75" customHeight="1" x14ac:dyDescent="0.3">
      <c r="A85" s="206" t="s">
        <v>94</v>
      </c>
      <c r="B85" s="206" t="s">
        <v>95</v>
      </c>
      <c r="C85" s="202"/>
      <c r="D85" s="202"/>
      <c r="E85" s="202"/>
      <c r="F85" s="202"/>
      <c r="G85" s="202"/>
    </row>
    <row r="86" spans="1:7" ht="18.75" customHeight="1" x14ac:dyDescent="0.3">
      <c r="A86" s="206"/>
      <c r="B86" s="206"/>
      <c r="C86" s="202"/>
      <c r="D86" s="202"/>
      <c r="E86" s="202"/>
      <c r="F86" s="202"/>
      <c r="G86" s="202"/>
    </row>
    <row r="87" spans="1:7" ht="26.25" customHeight="1" x14ac:dyDescent="0.4">
      <c r="A87" s="270" t="s">
        <v>4</v>
      </c>
      <c r="B87" s="325" t="str">
        <f>B26</f>
        <v>Levonorgestrel</v>
      </c>
      <c r="C87" s="325"/>
      <c r="D87" s="202"/>
      <c r="E87" s="202"/>
      <c r="F87" s="202"/>
      <c r="G87" s="202"/>
    </row>
    <row r="88" spans="1:7" ht="26.25" customHeight="1" x14ac:dyDescent="0.4">
      <c r="A88" s="201" t="s">
        <v>48</v>
      </c>
      <c r="B88" s="318" t="str">
        <f>B27</f>
        <v>WRS/L34-1</v>
      </c>
      <c r="C88" s="318"/>
      <c r="D88" s="202"/>
      <c r="E88" s="202"/>
      <c r="F88" s="202"/>
      <c r="G88" s="202"/>
    </row>
    <row r="89" spans="1:7" ht="27" customHeight="1" thickBot="1" x14ac:dyDescent="0.45">
      <c r="A89" s="201" t="s">
        <v>6</v>
      </c>
      <c r="B89" s="167">
        <f>B28</f>
        <v>99.7</v>
      </c>
      <c r="C89" s="202"/>
      <c r="D89" s="202"/>
      <c r="E89" s="202"/>
      <c r="F89" s="202"/>
      <c r="G89" s="202"/>
    </row>
    <row r="90" spans="1:7" ht="27" customHeight="1" thickBot="1" x14ac:dyDescent="0.45">
      <c r="A90" s="201" t="s">
        <v>49</v>
      </c>
      <c r="B90" s="167">
        <f>B33</f>
        <v>0</v>
      </c>
      <c r="C90" s="307" t="s">
        <v>50</v>
      </c>
      <c r="D90" s="308"/>
      <c r="E90" s="308"/>
      <c r="F90" s="308"/>
      <c r="G90" s="309"/>
    </row>
    <row r="91" spans="1:7" ht="18.75" customHeight="1" x14ac:dyDescent="0.3">
      <c r="A91" s="201" t="s">
        <v>51</v>
      </c>
      <c r="B91" s="281">
        <f>B89-B90</f>
        <v>99.7</v>
      </c>
      <c r="C91" s="212"/>
      <c r="D91" s="212"/>
      <c r="E91" s="212"/>
      <c r="F91" s="212"/>
      <c r="G91" s="213"/>
    </row>
    <row r="92" spans="1:7" ht="19.5" customHeight="1" thickBot="1" x14ac:dyDescent="0.35">
      <c r="A92" s="201"/>
      <c r="B92" s="281"/>
      <c r="C92" s="212"/>
      <c r="D92" s="212"/>
      <c r="E92" s="212"/>
      <c r="F92" s="212"/>
      <c r="G92" s="213"/>
    </row>
    <row r="93" spans="1:7" ht="27" customHeight="1" thickBot="1" x14ac:dyDescent="0.45">
      <c r="A93" s="201" t="s">
        <v>52</v>
      </c>
      <c r="B93" s="115">
        <v>1</v>
      </c>
      <c r="C93" s="310" t="s">
        <v>121</v>
      </c>
      <c r="D93" s="311"/>
      <c r="E93" s="311"/>
      <c r="F93" s="311"/>
      <c r="G93" s="311"/>
    </row>
    <row r="94" spans="1:7" ht="27" customHeight="1" thickBot="1" x14ac:dyDescent="0.45">
      <c r="A94" s="201" t="s">
        <v>54</v>
      </c>
      <c r="B94" s="115">
        <v>1</v>
      </c>
      <c r="C94" s="310" t="s">
        <v>122</v>
      </c>
      <c r="D94" s="311"/>
      <c r="E94" s="311"/>
      <c r="F94" s="311"/>
      <c r="G94" s="311"/>
    </row>
    <row r="95" spans="1:7" ht="18.75" customHeight="1" x14ac:dyDescent="0.3">
      <c r="A95" s="201"/>
      <c r="B95" s="116"/>
      <c r="C95" s="117"/>
      <c r="D95" s="117"/>
      <c r="E95" s="117"/>
      <c r="F95" s="117"/>
      <c r="G95" s="117"/>
    </row>
    <row r="96" spans="1:7" ht="18.75" customHeight="1" x14ac:dyDescent="0.3">
      <c r="A96" s="201" t="s">
        <v>56</v>
      </c>
      <c r="B96" s="118">
        <f>B93/B94</f>
        <v>1</v>
      </c>
      <c r="C96" s="202" t="s">
        <v>57</v>
      </c>
      <c r="D96" s="202"/>
      <c r="E96" s="202"/>
      <c r="F96" s="202"/>
      <c r="G96" s="202"/>
    </row>
    <row r="97" spans="1:7" ht="19.5" customHeight="1" thickBot="1" x14ac:dyDescent="0.35">
      <c r="A97" s="206"/>
      <c r="B97" s="206"/>
      <c r="C97" s="202"/>
      <c r="D97" s="202"/>
      <c r="E97" s="202"/>
      <c r="F97" s="202"/>
      <c r="G97" s="202"/>
    </row>
    <row r="98" spans="1:7" ht="27" customHeight="1" thickBot="1" x14ac:dyDescent="0.45">
      <c r="A98" s="119" t="s">
        <v>105</v>
      </c>
      <c r="B98" s="214">
        <v>200</v>
      </c>
      <c r="C98" s="202"/>
      <c r="D98" s="278" t="s">
        <v>58</v>
      </c>
      <c r="E98" s="279"/>
      <c r="F98" s="312" t="s">
        <v>59</v>
      </c>
      <c r="G98" s="313"/>
    </row>
    <row r="99" spans="1:7" ht="26.25" customHeight="1" x14ac:dyDescent="0.4">
      <c r="A99" s="121" t="s">
        <v>60</v>
      </c>
      <c r="B99" s="217">
        <v>1</v>
      </c>
      <c r="C99" s="123" t="s">
        <v>61</v>
      </c>
      <c r="D99" s="124" t="s">
        <v>62</v>
      </c>
      <c r="E99" s="125" t="s">
        <v>63</v>
      </c>
      <c r="F99" s="124" t="s">
        <v>62</v>
      </c>
      <c r="G99" s="126" t="s">
        <v>63</v>
      </c>
    </row>
    <row r="100" spans="1:7" ht="26.25" customHeight="1" x14ac:dyDescent="0.4">
      <c r="A100" s="121" t="s">
        <v>64</v>
      </c>
      <c r="B100" s="217">
        <v>250</v>
      </c>
      <c r="C100" s="127">
        <v>1</v>
      </c>
      <c r="D100" s="128">
        <v>1797172</v>
      </c>
      <c r="E100" s="218">
        <f>IF(ISBLANK(D100),"-",$D$110/$D$107*D100)</f>
        <v>1628837.1137508906</v>
      </c>
      <c r="F100" s="219">
        <v>1748810</v>
      </c>
      <c r="G100" s="130">
        <f>IF(ISBLANK(F100),"-",$D$110/$F$107*F100)</f>
        <v>1686607.9006249516</v>
      </c>
    </row>
    <row r="101" spans="1:7" ht="26.25" customHeight="1" x14ac:dyDescent="0.4">
      <c r="A101" s="121" t="s">
        <v>65</v>
      </c>
      <c r="B101" s="217">
        <v>1</v>
      </c>
      <c r="C101" s="259">
        <v>2</v>
      </c>
      <c r="D101" s="132">
        <v>1803609</v>
      </c>
      <c r="E101" s="220">
        <f>IF(ISBLANK(D101),"-",$D$110/$D$107*D101)</f>
        <v>1634671.1822213624</v>
      </c>
      <c r="F101" s="167">
        <v>1727046</v>
      </c>
      <c r="G101" s="134">
        <f>IF(ISBLANK(F101),"-",$D$110/$F$107*F101)</f>
        <v>1665618.0078697631</v>
      </c>
    </row>
    <row r="102" spans="1:7" ht="26.25" customHeight="1" x14ac:dyDescent="0.4">
      <c r="A102" s="121" t="s">
        <v>66</v>
      </c>
      <c r="B102" s="217">
        <v>1</v>
      </c>
      <c r="C102" s="259">
        <v>3</v>
      </c>
      <c r="D102" s="132">
        <v>1800613</v>
      </c>
      <c r="E102" s="220">
        <f>IF(ISBLANK(D102),"-",$D$110/$D$107*D102)</f>
        <v>1631955.8071805772</v>
      </c>
      <c r="F102" s="167">
        <v>1755265</v>
      </c>
      <c r="G102" s="134">
        <f>IF(ISBLANK(F102),"-",$D$110/$F$107*F102)</f>
        <v>1692833.307615153</v>
      </c>
    </row>
    <row r="103" spans="1:7" ht="26.25" customHeight="1" x14ac:dyDescent="0.4">
      <c r="A103" s="121" t="s">
        <v>67</v>
      </c>
      <c r="B103" s="217">
        <v>1</v>
      </c>
      <c r="C103" s="135">
        <v>4</v>
      </c>
      <c r="D103" s="136"/>
      <c r="E103" s="222" t="str">
        <f>IF(ISBLANK(D103),"-",$D$110/$D$107*D103)</f>
        <v>-</v>
      </c>
      <c r="F103" s="223"/>
      <c r="G103" s="138" t="str">
        <f>IF(ISBLANK(F103),"-",$D$110/$F$107*F103)</f>
        <v>-</v>
      </c>
    </row>
    <row r="104" spans="1:7" ht="27" customHeight="1" thickBot="1" x14ac:dyDescent="0.45">
      <c r="A104" s="121" t="s">
        <v>68</v>
      </c>
      <c r="B104" s="217">
        <v>1</v>
      </c>
      <c r="C104" s="139" t="s">
        <v>69</v>
      </c>
      <c r="D104" s="224">
        <f>AVERAGE(D100:D103)</f>
        <v>1800464.6666666667</v>
      </c>
      <c r="E104" s="141">
        <f>AVERAGE(E100:E103)</f>
        <v>1631821.36771761</v>
      </c>
      <c r="F104" s="224">
        <f>AVERAGE(F100:F103)</f>
        <v>1743707</v>
      </c>
      <c r="G104" s="225">
        <f>AVERAGE(G100:G103)</f>
        <v>1681686.405369956</v>
      </c>
    </row>
    <row r="105" spans="1:7" ht="26.25" customHeight="1" x14ac:dyDescent="0.4">
      <c r="A105" s="121" t="s">
        <v>70</v>
      </c>
      <c r="B105" s="217">
        <v>1</v>
      </c>
      <c r="C105" s="143" t="s">
        <v>96</v>
      </c>
      <c r="D105" s="226">
        <v>16.600000000000001</v>
      </c>
      <c r="E105" s="202"/>
      <c r="F105" s="144">
        <v>15.6</v>
      </c>
      <c r="G105" s="202"/>
    </row>
    <row r="106" spans="1:7" ht="26.25" customHeight="1" x14ac:dyDescent="0.4">
      <c r="A106" s="121" t="s">
        <v>71</v>
      </c>
      <c r="B106" s="217">
        <v>1</v>
      </c>
      <c r="C106" s="146" t="s">
        <v>97</v>
      </c>
      <c r="D106" s="227">
        <f>D105*$B$96</f>
        <v>16.600000000000001</v>
      </c>
      <c r="E106" s="255"/>
      <c r="F106" s="147">
        <f>F105*$B$96</f>
        <v>15.6</v>
      </c>
      <c r="G106" s="202"/>
    </row>
    <row r="107" spans="1:7" ht="19.5" customHeight="1" thickBot="1" x14ac:dyDescent="0.35">
      <c r="A107" s="121" t="s">
        <v>72</v>
      </c>
      <c r="B107" s="259">
        <f>(B106/B105)*(B104/B103)*(B102/B101)*(B100/B99)*B98</f>
        <v>50000</v>
      </c>
      <c r="C107" s="146" t="s">
        <v>73</v>
      </c>
      <c r="D107" s="228">
        <f>D106*$B$91/100</f>
        <v>16.550200000000004</v>
      </c>
      <c r="E107" s="151"/>
      <c r="F107" s="150">
        <f>F106*$B$91/100</f>
        <v>15.553199999999999</v>
      </c>
      <c r="G107" s="202"/>
    </row>
    <row r="108" spans="1:7" ht="19.5" customHeight="1" thickBot="1" x14ac:dyDescent="0.35">
      <c r="A108" s="314" t="s">
        <v>74</v>
      </c>
      <c r="B108" s="315"/>
      <c r="C108" s="146" t="s">
        <v>75</v>
      </c>
      <c r="D108" s="227">
        <f>D107/$B$107</f>
        <v>3.3100400000000009E-4</v>
      </c>
      <c r="E108" s="151"/>
      <c r="F108" s="152">
        <f>F107/$B$107</f>
        <v>3.1106399999999995E-4</v>
      </c>
      <c r="G108" s="229"/>
    </row>
    <row r="109" spans="1:7" ht="19.5" customHeight="1" thickBot="1" x14ac:dyDescent="0.35">
      <c r="A109" s="316"/>
      <c r="B109" s="317"/>
      <c r="C109" s="283" t="s">
        <v>106</v>
      </c>
      <c r="D109" s="231">
        <f>$B$56/$B$125</f>
        <v>2.9999999999999997E-4</v>
      </c>
      <c r="E109" s="202"/>
      <c r="F109" s="155"/>
      <c r="G109" s="237"/>
    </row>
    <row r="110" spans="1:7" ht="18.75" customHeight="1" x14ac:dyDescent="0.3">
      <c r="A110" s="202"/>
      <c r="B110" s="202"/>
      <c r="C110" s="230" t="s">
        <v>76</v>
      </c>
      <c r="D110" s="227">
        <f>D109*$B$107</f>
        <v>14.999999999999998</v>
      </c>
      <c r="E110" s="202"/>
      <c r="F110" s="155"/>
      <c r="G110" s="229"/>
    </row>
    <row r="111" spans="1:7" ht="19.5" customHeight="1" thickBot="1" x14ac:dyDescent="0.35">
      <c r="A111" s="202"/>
      <c r="B111" s="202"/>
      <c r="C111" s="233" t="s">
        <v>77</v>
      </c>
      <c r="D111" s="234">
        <f>D110/B96</f>
        <v>14.999999999999998</v>
      </c>
      <c r="E111" s="202"/>
      <c r="F111" s="160"/>
      <c r="G111" s="229"/>
    </row>
    <row r="112" spans="1:7" ht="18.75" customHeight="1" x14ac:dyDescent="0.3">
      <c r="A112" s="202"/>
      <c r="B112" s="202"/>
      <c r="C112" s="235" t="s">
        <v>78</v>
      </c>
      <c r="D112" s="236">
        <f>AVERAGE(E100:E103,G100:G103)</f>
        <v>1656753.8865437831</v>
      </c>
      <c r="E112" s="202"/>
      <c r="F112" s="160"/>
      <c r="G112" s="237"/>
    </row>
    <row r="113" spans="1:7" ht="18.75" customHeight="1" x14ac:dyDescent="0.3">
      <c r="A113" s="202"/>
      <c r="B113" s="202"/>
      <c r="C113" s="238" t="s">
        <v>79</v>
      </c>
      <c r="D113" s="239">
        <f>STDEV(E100:E103,G100:G103)/D112</f>
        <v>1.7396581203258207E-2</v>
      </c>
      <c r="E113" s="202"/>
      <c r="F113" s="160"/>
      <c r="G113" s="229"/>
    </row>
    <row r="114" spans="1:7" ht="19.5" customHeight="1" thickBot="1" x14ac:dyDescent="0.35">
      <c r="A114" s="202"/>
      <c r="B114" s="202"/>
      <c r="C114" s="240" t="s">
        <v>20</v>
      </c>
      <c r="D114" s="241">
        <f>COUNT(E100:E103,G100:G103)</f>
        <v>6</v>
      </c>
      <c r="E114" s="202"/>
      <c r="F114" s="160"/>
      <c r="G114" s="229"/>
    </row>
    <row r="115" spans="1:7" ht="19.5" customHeight="1" thickBot="1" x14ac:dyDescent="0.35">
      <c r="A115" s="99"/>
      <c r="B115" s="99"/>
      <c r="C115" s="99"/>
      <c r="D115" s="99"/>
      <c r="E115" s="99"/>
      <c r="F115" s="202"/>
      <c r="G115" s="202"/>
    </row>
    <row r="116" spans="1:7" ht="26.25" customHeight="1" x14ac:dyDescent="0.4">
      <c r="A116" s="119" t="s">
        <v>98</v>
      </c>
      <c r="B116" s="214">
        <v>500</v>
      </c>
      <c r="C116" s="278" t="s">
        <v>123</v>
      </c>
      <c r="D116" s="243" t="s">
        <v>62</v>
      </c>
      <c r="E116" s="244" t="s">
        <v>99</v>
      </c>
      <c r="F116" s="245" t="s">
        <v>100</v>
      </c>
      <c r="G116" s="202"/>
    </row>
    <row r="117" spans="1:7" ht="26.25" customHeight="1" x14ac:dyDescent="0.4">
      <c r="A117" s="121" t="s">
        <v>101</v>
      </c>
      <c r="B117" s="217">
        <v>1</v>
      </c>
      <c r="C117" s="189">
        <v>1</v>
      </c>
      <c r="D117" s="132">
        <v>1502396</v>
      </c>
      <c r="E117" s="247">
        <f t="shared" ref="E117:E122" si="3">IF(ISBLANK(D117),"-",D117/$D$112*$D$109*$B$125)</f>
        <v>0.13602466958452758</v>
      </c>
      <c r="F117" s="248">
        <f t="shared" ref="F117:F122" si="4">IF(ISBLANK(D117), "-", E117/$B$56)</f>
        <v>0.90683113056351727</v>
      </c>
      <c r="G117" s="202"/>
    </row>
    <row r="118" spans="1:7" ht="26.25" customHeight="1" x14ac:dyDescent="0.4">
      <c r="A118" s="121" t="s">
        <v>84</v>
      </c>
      <c r="B118" s="217">
        <v>1</v>
      </c>
      <c r="C118" s="189">
        <v>2</v>
      </c>
      <c r="D118" s="132">
        <v>1520519</v>
      </c>
      <c r="E118" s="249">
        <f t="shared" si="3"/>
        <v>0.13766549869142108</v>
      </c>
      <c r="F118" s="250">
        <f t="shared" si="4"/>
        <v>0.91776999127614056</v>
      </c>
      <c r="G118" s="202"/>
    </row>
    <row r="119" spans="1:7" ht="26.25" customHeight="1" x14ac:dyDescent="0.4">
      <c r="A119" s="121" t="s">
        <v>85</v>
      </c>
      <c r="B119" s="217">
        <v>1</v>
      </c>
      <c r="C119" s="189">
        <v>3</v>
      </c>
      <c r="D119" s="132">
        <v>1499933</v>
      </c>
      <c r="E119" s="249">
        <f t="shared" si="3"/>
        <v>0.1358016732765058</v>
      </c>
      <c r="F119" s="250">
        <f t="shared" si="4"/>
        <v>0.90534448851003868</v>
      </c>
      <c r="G119" s="202"/>
    </row>
    <row r="120" spans="1:7" ht="26.25" customHeight="1" x14ac:dyDescent="0.4">
      <c r="A120" s="121" t="s">
        <v>86</v>
      </c>
      <c r="B120" s="217">
        <v>1</v>
      </c>
      <c r="C120" s="189">
        <v>4</v>
      </c>
      <c r="D120" s="132">
        <v>1480128</v>
      </c>
      <c r="E120" s="249">
        <f t="shared" si="3"/>
        <v>0.13400855842454826</v>
      </c>
      <c r="F120" s="250">
        <f t="shared" si="4"/>
        <v>0.89339038949698846</v>
      </c>
      <c r="G120" s="202"/>
    </row>
    <row r="121" spans="1:7" ht="26.25" customHeight="1" x14ac:dyDescent="0.4">
      <c r="A121" s="121" t="s">
        <v>87</v>
      </c>
      <c r="B121" s="217">
        <v>1</v>
      </c>
      <c r="C121" s="189">
        <v>5</v>
      </c>
      <c r="D121" s="132">
        <v>1475911</v>
      </c>
      <c r="E121" s="249">
        <f t="shared" si="3"/>
        <v>0.13362675759997342</v>
      </c>
      <c r="F121" s="250">
        <f t="shared" si="4"/>
        <v>0.89084505066648945</v>
      </c>
      <c r="G121" s="202"/>
    </row>
    <row r="122" spans="1:7" ht="26.25" customHeight="1" x14ac:dyDescent="0.4">
      <c r="A122" s="121" t="s">
        <v>88</v>
      </c>
      <c r="B122" s="217">
        <v>1</v>
      </c>
      <c r="C122" s="251">
        <v>6</v>
      </c>
      <c r="D122" s="132">
        <v>1493789</v>
      </c>
      <c r="E122" s="253">
        <f t="shared" si="3"/>
        <v>0.13524540477610553</v>
      </c>
      <c r="F122" s="254">
        <f t="shared" si="4"/>
        <v>0.90163603184070351</v>
      </c>
      <c r="G122" s="202"/>
    </row>
    <row r="123" spans="1:7" ht="26.25" customHeight="1" x14ac:dyDescent="0.4">
      <c r="A123" s="121" t="s">
        <v>89</v>
      </c>
      <c r="B123" s="217">
        <v>1</v>
      </c>
      <c r="C123" s="189"/>
      <c r="D123" s="255"/>
      <c r="E123" s="202"/>
      <c r="F123" s="182"/>
      <c r="G123" s="202"/>
    </row>
    <row r="124" spans="1:7" ht="26.25" customHeight="1" x14ac:dyDescent="0.4">
      <c r="A124" s="121" t="s">
        <v>90</v>
      </c>
      <c r="B124" s="217">
        <v>1</v>
      </c>
      <c r="C124" s="189"/>
      <c r="D124" s="256"/>
      <c r="E124" s="257" t="s">
        <v>69</v>
      </c>
      <c r="F124" s="258">
        <f>AVERAGE(F117:F122)</f>
        <v>0.90263618039231297</v>
      </c>
      <c r="G124" s="202"/>
    </row>
    <row r="125" spans="1:7" ht="27" customHeight="1" thickBot="1" x14ac:dyDescent="0.45">
      <c r="A125" s="121" t="s">
        <v>91</v>
      </c>
      <c r="B125" s="259">
        <f>(B124/B123)*(B122/B121)*(B120/B119)*(B118/B117)*B116</f>
        <v>500</v>
      </c>
      <c r="C125" s="260"/>
      <c r="D125" s="261"/>
      <c r="E125" s="201" t="s">
        <v>79</v>
      </c>
      <c r="F125" s="194">
        <f>STDEV(F117:F122)/F124</f>
        <v>1.0848950216927304E-2</v>
      </c>
      <c r="G125" s="202"/>
    </row>
    <row r="126" spans="1:7" ht="27" customHeight="1" thickBot="1" x14ac:dyDescent="0.45">
      <c r="A126" s="314" t="s">
        <v>74</v>
      </c>
      <c r="B126" s="315"/>
      <c r="C126" s="262"/>
      <c r="D126" s="263"/>
      <c r="E126" s="264" t="s">
        <v>20</v>
      </c>
      <c r="F126" s="265">
        <f>COUNT(F117:F122)</f>
        <v>6</v>
      </c>
      <c r="G126" s="202"/>
    </row>
    <row r="127" spans="1:7" ht="19.5" customHeight="1" thickBot="1" x14ac:dyDescent="0.35">
      <c r="A127" s="316"/>
      <c r="B127" s="317"/>
      <c r="C127" s="202"/>
      <c r="D127" s="202"/>
      <c r="E127" s="202"/>
      <c r="F127" s="255"/>
      <c r="G127" s="202"/>
    </row>
    <row r="128" spans="1:7" ht="18.75" customHeight="1" x14ac:dyDescent="0.3">
      <c r="A128" s="117"/>
      <c r="B128" s="117"/>
      <c r="C128" s="202"/>
      <c r="D128" s="202"/>
      <c r="E128" s="202"/>
      <c r="F128" s="255"/>
      <c r="G128" s="202"/>
    </row>
    <row r="129" spans="1:7" ht="18.75" customHeight="1" x14ac:dyDescent="0.3">
      <c r="A129" s="270" t="s">
        <v>114</v>
      </c>
      <c r="B129" s="201" t="s">
        <v>102</v>
      </c>
      <c r="C129" s="305" t="str">
        <f>B20</f>
        <v>Levonorgestrel 0.15mg,Ethinylestradiol 0.03mg.</v>
      </c>
      <c r="D129" s="305"/>
      <c r="E129" s="202" t="s">
        <v>103</v>
      </c>
      <c r="F129" s="202"/>
      <c r="G129" s="205">
        <f>F124</f>
        <v>0.90263618039231297</v>
      </c>
    </row>
    <row r="130" spans="1:7" ht="19.5" customHeight="1" thickBot="1" x14ac:dyDescent="0.35">
      <c r="A130" s="280"/>
      <c r="B130" s="280"/>
      <c r="C130" s="267"/>
      <c r="D130" s="267"/>
      <c r="E130" s="267"/>
      <c r="F130" s="267"/>
      <c r="G130" s="267"/>
    </row>
    <row r="131" spans="1:7" ht="18.75" customHeight="1" x14ac:dyDescent="0.3">
      <c r="A131" s="202"/>
      <c r="B131" s="306" t="s">
        <v>26</v>
      </c>
      <c r="C131" s="306"/>
      <c r="D131" s="202"/>
      <c r="E131" s="282" t="s">
        <v>27</v>
      </c>
      <c r="F131" s="269"/>
      <c r="G131" s="282" t="s">
        <v>28</v>
      </c>
    </row>
    <row r="132" spans="1:7" ht="42.75" customHeight="1" x14ac:dyDescent="0.3">
      <c r="A132" s="270" t="s">
        <v>29</v>
      </c>
      <c r="B132" s="272"/>
      <c r="C132" s="272"/>
      <c r="D132" s="202"/>
      <c r="E132" s="272"/>
      <c r="F132" s="202"/>
      <c r="G132" s="272"/>
    </row>
    <row r="133" spans="1:7" ht="37.5" customHeight="1" x14ac:dyDescent="0.3">
      <c r="A133" s="270" t="s">
        <v>30</v>
      </c>
      <c r="B133" s="273"/>
      <c r="C133" s="273"/>
      <c r="D133" s="202"/>
      <c r="E133" s="273"/>
      <c r="F133" s="202"/>
      <c r="G133" s="274"/>
    </row>
    <row r="134" spans="1:7" ht="67.5" customHeight="1" x14ac:dyDescent="0.2"/>
    <row r="135" spans="1:7" ht="29.25" customHeight="1" x14ac:dyDescent="0.2"/>
    <row r="136" spans="1:7" ht="26.25" customHeight="1" x14ac:dyDescent="0.2"/>
    <row r="250" spans="1:1" x14ac:dyDescent="0.2">
      <c r="A250" s="44">
        <v>5</v>
      </c>
    </row>
  </sheetData>
  <sheetProtection password="F258" sheet="1" objects="1" scenarios="1" formatColumns="0" formatRows="0" insertColumns="0" insertHyperlinks="0" deleteColumns="0" deleteRows="0" autoFilter="0" pivotTables="0"/>
  <mergeCells count="26">
    <mergeCell ref="B26:C26"/>
    <mergeCell ref="A1:G7"/>
    <mergeCell ref="A8:G14"/>
    <mergeCell ref="A16:G16"/>
    <mergeCell ref="B18:C18"/>
    <mergeCell ref="B20:C20"/>
    <mergeCell ref="B88:C88"/>
    <mergeCell ref="B27:C27"/>
    <mergeCell ref="C29:G29"/>
    <mergeCell ref="C31:G31"/>
    <mergeCell ref="C32:G32"/>
    <mergeCell ref="D36:E36"/>
    <mergeCell ref="F36:G36"/>
    <mergeCell ref="A46:B47"/>
    <mergeCell ref="A68:B69"/>
    <mergeCell ref="C74:D74"/>
    <mergeCell ref="B78:C78"/>
    <mergeCell ref="B87:C87"/>
    <mergeCell ref="C129:D129"/>
    <mergeCell ref="B131:C131"/>
    <mergeCell ref="C90:G90"/>
    <mergeCell ref="C93:G93"/>
    <mergeCell ref="C94:G94"/>
    <mergeCell ref="F98:G98"/>
    <mergeCell ref="A108:B109"/>
    <mergeCell ref="A126:B127"/>
  </mergeCells>
  <conditionalFormatting sqref="D51">
    <cfRule type="cellIs" dxfId="5" priority="1" operator="greaterThan">
      <formula>0.02</formula>
    </cfRule>
  </conditionalFormatting>
  <conditionalFormatting sqref="C83">
    <cfRule type="cellIs" dxfId="4" priority="2" operator="greaterThan">
      <formula>15</formula>
    </cfRule>
  </conditionalFormatting>
  <conditionalFormatting sqref="D113">
    <cfRule type="cellIs" dxfId="3" priority="3" operator="greaterThan">
      <formula>0.02</formula>
    </cfRule>
  </conditionalFormatting>
  <pageMargins left="0.7" right="0.7" top="0.75" bottom="0.75" header="0.3" footer="0.3"/>
  <pageSetup paperSize="9" scale="24" orientation="portrait" r:id="rId1"/>
  <headerFooter>
    <oddHeader>&amp;LVer 2&amp;CPage &amp;P of &amp;N&amp;R&amp;D &amp;T</oddHeader>
    <oddFooter>&amp;LNQCL/ADDO/014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tabSelected="1" topLeftCell="A58" zoomScale="60" zoomScaleNormal="60" workbookViewId="0">
      <selection activeCell="F44" sqref="F44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7.42578125" customWidth="1"/>
    <col min="5" max="5" width="28.28515625" customWidth="1"/>
    <col min="6" max="6" width="27.42578125" customWidth="1"/>
    <col min="7" max="7" width="26" customWidth="1"/>
    <col min="8" max="8" width="31.7109375" customWidth="1"/>
  </cols>
  <sheetData>
    <row r="1" spans="1:7" x14ac:dyDescent="0.2">
      <c r="A1" s="326" t="s">
        <v>45</v>
      </c>
      <c r="B1" s="326"/>
      <c r="C1" s="326"/>
      <c r="D1" s="326"/>
      <c r="E1" s="326"/>
      <c r="F1" s="326"/>
      <c r="G1" s="326"/>
    </row>
    <row r="2" spans="1:7" x14ac:dyDescent="0.2">
      <c r="A2" s="326"/>
      <c r="B2" s="326"/>
      <c r="C2" s="326"/>
      <c r="D2" s="326"/>
      <c r="E2" s="326"/>
      <c r="F2" s="326"/>
      <c r="G2" s="326"/>
    </row>
    <row r="3" spans="1:7" x14ac:dyDescent="0.2">
      <c r="A3" s="326"/>
      <c r="B3" s="326"/>
      <c r="C3" s="326"/>
      <c r="D3" s="326"/>
      <c r="E3" s="326"/>
      <c r="F3" s="326"/>
      <c r="G3" s="326"/>
    </row>
    <row r="4" spans="1:7" x14ac:dyDescent="0.2">
      <c r="A4" s="326"/>
      <c r="B4" s="326"/>
      <c r="C4" s="326"/>
      <c r="D4" s="326"/>
      <c r="E4" s="326"/>
      <c r="F4" s="326"/>
      <c r="G4" s="326"/>
    </row>
    <row r="5" spans="1:7" x14ac:dyDescent="0.2">
      <c r="A5" s="326"/>
      <c r="B5" s="326"/>
      <c r="C5" s="326"/>
      <c r="D5" s="326"/>
      <c r="E5" s="326"/>
      <c r="F5" s="326"/>
      <c r="G5" s="326"/>
    </row>
    <row r="6" spans="1:7" x14ac:dyDescent="0.2">
      <c r="A6" s="326"/>
      <c r="B6" s="326"/>
      <c r="C6" s="326"/>
      <c r="D6" s="326"/>
      <c r="E6" s="326"/>
      <c r="F6" s="326"/>
      <c r="G6" s="326"/>
    </row>
    <row r="7" spans="1:7" x14ac:dyDescent="0.2">
      <c r="A7" s="326"/>
      <c r="B7" s="326"/>
      <c r="C7" s="326"/>
      <c r="D7" s="326"/>
      <c r="E7" s="326"/>
      <c r="F7" s="326"/>
      <c r="G7" s="326"/>
    </row>
    <row r="8" spans="1:7" x14ac:dyDescent="0.2">
      <c r="A8" s="327" t="s">
        <v>46</v>
      </c>
      <c r="B8" s="327"/>
      <c r="C8" s="327"/>
      <c r="D8" s="327"/>
      <c r="E8" s="327"/>
      <c r="F8" s="327"/>
      <c r="G8" s="327"/>
    </row>
    <row r="9" spans="1:7" x14ac:dyDescent="0.2">
      <c r="A9" s="327"/>
      <c r="B9" s="327"/>
      <c r="C9" s="327"/>
      <c r="D9" s="327"/>
      <c r="E9" s="327"/>
      <c r="F9" s="327"/>
      <c r="G9" s="327"/>
    </row>
    <row r="10" spans="1:7" x14ac:dyDescent="0.2">
      <c r="A10" s="327"/>
      <c r="B10" s="327"/>
      <c r="C10" s="327"/>
      <c r="D10" s="327"/>
      <c r="E10" s="327"/>
      <c r="F10" s="327"/>
      <c r="G10" s="327"/>
    </row>
    <row r="11" spans="1:7" x14ac:dyDescent="0.2">
      <c r="A11" s="327"/>
      <c r="B11" s="327"/>
      <c r="C11" s="327"/>
      <c r="D11" s="327"/>
      <c r="E11" s="327"/>
      <c r="F11" s="327"/>
      <c r="G11" s="327"/>
    </row>
    <row r="12" spans="1:7" x14ac:dyDescent="0.2">
      <c r="A12" s="327"/>
      <c r="B12" s="327"/>
      <c r="C12" s="327"/>
      <c r="D12" s="327"/>
      <c r="E12" s="327"/>
      <c r="F12" s="327"/>
      <c r="G12" s="327"/>
    </row>
    <row r="13" spans="1:7" x14ac:dyDescent="0.2">
      <c r="A13" s="327"/>
      <c r="B13" s="327"/>
      <c r="C13" s="327"/>
      <c r="D13" s="327"/>
      <c r="E13" s="327"/>
      <c r="F13" s="327"/>
      <c r="G13" s="327"/>
    </row>
    <row r="14" spans="1:7" x14ac:dyDescent="0.2">
      <c r="A14" s="327"/>
      <c r="B14" s="327"/>
      <c r="C14" s="327"/>
      <c r="D14" s="327"/>
      <c r="E14" s="327"/>
      <c r="F14" s="327"/>
      <c r="G14" s="327"/>
    </row>
    <row r="15" spans="1:7" ht="19.5" customHeight="1" x14ac:dyDescent="0.3">
      <c r="A15" s="98"/>
      <c r="B15" s="98"/>
      <c r="C15" s="98"/>
      <c r="D15" s="98"/>
      <c r="E15" s="98"/>
      <c r="F15" s="98"/>
      <c r="G15" s="98"/>
    </row>
    <row r="16" spans="1:7" ht="19.5" customHeight="1" x14ac:dyDescent="0.3">
      <c r="A16" s="328" t="s">
        <v>31</v>
      </c>
      <c r="B16" s="329"/>
      <c r="C16" s="329"/>
      <c r="D16" s="329"/>
      <c r="E16" s="329"/>
      <c r="F16" s="329"/>
      <c r="G16" s="329"/>
    </row>
    <row r="17" spans="1:7" ht="18.75" customHeight="1" x14ac:dyDescent="0.3">
      <c r="A17" s="99" t="s">
        <v>47</v>
      </c>
      <c r="B17" s="99"/>
      <c r="C17" s="98"/>
      <c r="D17" s="98"/>
      <c r="E17" s="98"/>
      <c r="F17" s="98"/>
      <c r="G17" s="98"/>
    </row>
    <row r="18" spans="1:7" ht="26.25" customHeight="1" x14ac:dyDescent="0.4">
      <c r="A18" s="100" t="s">
        <v>33</v>
      </c>
      <c r="B18" s="325" t="str">
        <f>'Levonorgestrel '!B18:C18</f>
        <v>KURVELO</v>
      </c>
      <c r="C18" s="325"/>
      <c r="D18" s="101"/>
      <c r="E18" s="101"/>
      <c r="F18" s="98"/>
      <c r="G18" s="98"/>
    </row>
    <row r="19" spans="1:7" ht="26.25" customHeight="1" x14ac:dyDescent="0.4">
      <c r="A19" s="100" t="s">
        <v>34</v>
      </c>
      <c r="B19" s="275" t="str">
        <f>'Levonorgestrel '!B19</f>
        <v>NDQD201510440</v>
      </c>
      <c r="C19" s="98">
        <v>12</v>
      </c>
      <c r="E19" s="98"/>
      <c r="F19" s="98"/>
      <c r="G19" s="98"/>
    </row>
    <row r="20" spans="1:7" ht="26.25" customHeight="1" x14ac:dyDescent="0.4">
      <c r="A20" s="100" t="s">
        <v>35</v>
      </c>
      <c r="B20" s="318" t="str">
        <f>'Levonorgestrel '!B20:C20</f>
        <v>Levonorgestrel 0.15mg,Ethinylestradiol 0.03mg.</v>
      </c>
      <c r="C20" s="318"/>
      <c r="D20" s="98"/>
      <c r="E20" s="98"/>
      <c r="F20" s="98"/>
      <c r="G20" s="98"/>
    </row>
    <row r="21" spans="1:7" ht="26.25" customHeight="1" x14ac:dyDescent="0.4">
      <c r="A21" s="100" t="s">
        <v>36</v>
      </c>
      <c r="B21" s="102" t="str">
        <f>'Levonorgestrel '!B21</f>
        <v>Each light orange tablet (21) contains: Levonorgesterl USP 0.15mg</v>
      </c>
      <c r="C21" s="102"/>
      <c r="D21" s="103"/>
      <c r="E21" s="103"/>
      <c r="F21" s="103"/>
      <c r="G21" s="103"/>
    </row>
    <row r="22" spans="1:7" ht="26.25" customHeight="1" x14ac:dyDescent="0.4">
      <c r="A22" s="100" t="s">
        <v>37</v>
      </c>
      <c r="B22" s="104" t="str">
        <f>'Levonorgestrel '!B22</f>
        <v>30th March 2016</v>
      </c>
      <c r="C22" s="105"/>
      <c r="D22" s="98"/>
      <c r="E22" s="98"/>
      <c r="F22" s="98"/>
      <c r="G22" s="98"/>
    </row>
    <row r="23" spans="1:7" ht="26.25" customHeight="1" x14ac:dyDescent="0.4">
      <c r="A23" s="100" t="s">
        <v>38</v>
      </c>
      <c r="B23" s="104" t="str">
        <f>'Levonorgestrel '!B23</f>
        <v>20th April 2016</v>
      </c>
      <c r="C23" s="105"/>
      <c r="D23" s="98"/>
      <c r="E23" s="98"/>
      <c r="F23" s="98"/>
      <c r="G23" s="98"/>
    </row>
    <row r="24" spans="1:7" ht="18.75" customHeight="1" x14ac:dyDescent="0.3">
      <c r="A24" s="100"/>
      <c r="B24" s="106"/>
      <c r="C24" s="98"/>
      <c r="D24" s="98"/>
      <c r="E24" s="98"/>
      <c r="F24" s="98"/>
      <c r="G24" s="98"/>
    </row>
    <row r="25" spans="1:7" ht="18.75" customHeight="1" x14ac:dyDescent="0.3">
      <c r="A25" s="107" t="s">
        <v>1</v>
      </c>
      <c r="B25" s="106"/>
      <c r="C25" s="98"/>
      <c r="D25" s="98"/>
      <c r="E25" s="98"/>
      <c r="F25" s="98"/>
      <c r="G25" s="98"/>
    </row>
    <row r="26" spans="1:7" ht="26.25" customHeight="1" x14ac:dyDescent="0.4">
      <c r="A26" s="108" t="s">
        <v>4</v>
      </c>
      <c r="B26" s="325" t="s">
        <v>124</v>
      </c>
      <c r="C26" s="325"/>
      <c r="D26" s="98"/>
      <c r="E26" s="98"/>
      <c r="F26" s="98"/>
      <c r="G26" s="98"/>
    </row>
    <row r="27" spans="1:7" ht="26.25" customHeight="1" x14ac:dyDescent="0.4">
      <c r="A27" s="109" t="s">
        <v>48</v>
      </c>
      <c r="B27" s="318" t="s">
        <v>125</v>
      </c>
      <c r="C27" s="318"/>
      <c r="D27" s="98"/>
      <c r="E27" s="98"/>
      <c r="F27" s="98"/>
      <c r="G27" s="98"/>
    </row>
    <row r="28" spans="1:7" ht="27" customHeight="1" x14ac:dyDescent="0.4">
      <c r="A28" s="109" t="s">
        <v>6</v>
      </c>
      <c r="B28" s="110">
        <v>99.8</v>
      </c>
      <c r="C28" s="98"/>
      <c r="D28" s="98"/>
      <c r="E28" s="98"/>
      <c r="F28" s="98"/>
      <c r="G28" s="98"/>
    </row>
    <row r="29" spans="1:7" ht="27" customHeight="1" x14ac:dyDescent="0.4">
      <c r="A29" s="109" t="s">
        <v>49</v>
      </c>
      <c r="B29" s="111">
        <v>0</v>
      </c>
      <c r="C29" s="310" t="s">
        <v>104</v>
      </c>
      <c r="D29" s="311"/>
      <c r="E29" s="311"/>
      <c r="F29" s="311"/>
      <c r="G29" s="319"/>
    </row>
    <row r="30" spans="1:7" ht="19.5" customHeight="1" x14ac:dyDescent="0.3">
      <c r="A30" s="109" t="s">
        <v>51</v>
      </c>
      <c r="B30" s="113">
        <f>B28-B29</f>
        <v>99.8</v>
      </c>
      <c r="C30" s="114"/>
      <c r="D30" s="114"/>
      <c r="E30" s="114"/>
      <c r="F30" s="114"/>
      <c r="G30" s="114"/>
    </row>
    <row r="31" spans="1:7" ht="27" customHeight="1" x14ac:dyDescent="0.4">
      <c r="A31" s="109" t="s">
        <v>52</v>
      </c>
      <c r="B31" s="115">
        <v>1</v>
      </c>
      <c r="C31" s="310" t="s">
        <v>53</v>
      </c>
      <c r="D31" s="311"/>
      <c r="E31" s="311"/>
      <c r="F31" s="311"/>
      <c r="G31" s="319"/>
    </row>
    <row r="32" spans="1:7" ht="27" customHeight="1" x14ac:dyDescent="0.4">
      <c r="A32" s="109" t="s">
        <v>54</v>
      </c>
      <c r="B32" s="115">
        <v>1</v>
      </c>
      <c r="C32" s="310" t="s">
        <v>55</v>
      </c>
      <c r="D32" s="311"/>
      <c r="E32" s="311"/>
      <c r="F32" s="311"/>
      <c r="G32" s="319"/>
    </row>
    <row r="33" spans="1:7" ht="18.75" customHeight="1" x14ac:dyDescent="0.3">
      <c r="A33" s="109"/>
      <c r="B33" s="116"/>
      <c r="C33" s="117"/>
      <c r="D33" s="117"/>
      <c r="E33" s="117"/>
      <c r="F33" s="117"/>
      <c r="G33" s="117"/>
    </row>
    <row r="34" spans="1:7" ht="18.75" customHeight="1" x14ac:dyDescent="0.3">
      <c r="A34" s="109" t="s">
        <v>56</v>
      </c>
      <c r="B34" s="118">
        <f>B31/B32</f>
        <v>1</v>
      </c>
      <c r="C34" s="98" t="s">
        <v>57</v>
      </c>
      <c r="D34" s="98"/>
      <c r="E34" s="98"/>
      <c r="F34" s="98"/>
      <c r="G34" s="98"/>
    </row>
    <row r="35" spans="1:7" ht="19.5" customHeight="1" x14ac:dyDescent="0.3">
      <c r="A35" s="109"/>
      <c r="B35" s="113"/>
      <c r="C35" s="112"/>
      <c r="D35" s="112"/>
      <c r="E35" s="112"/>
      <c r="F35" s="112"/>
      <c r="G35" s="98"/>
    </row>
    <row r="36" spans="1:7" ht="27" customHeight="1" x14ac:dyDescent="0.4">
      <c r="A36" s="119" t="s">
        <v>105</v>
      </c>
      <c r="B36" s="120">
        <v>100</v>
      </c>
      <c r="C36" s="98"/>
      <c r="D36" s="312" t="s">
        <v>58</v>
      </c>
      <c r="E36" s="320"/>
      <c r="F36" s="312" t="s">
        <v>59</v>
      </c>
      <c r="G36" s="313"/>
    </row>
    <row r="37" spans="1:7" ht="26.25" customHeight="1" x14ac:dyDescent="0.4">
      <c r="A37" s="121" t="s">
        <v>60</v>
      </c>
      <c r="B37" s="122">
        <v>3</v>
      </c>
      <c r="C37" s="123" t="s">
        <v>61</v>
      </c>
      <c r="D37" s="124" t="s">
        <v>62</v>
      </c>
      <c r="E37" s="125" t="s">
        <v>63</v>
      </c>
      <c r="F37" s="124" t="s">
        <v>62</v>
      </c>
      <c r="G37" s="126" t="s">
        <v>63</v>
      </c>
    </row>
    <row r="38" spans="1:7" ht="26.25" customHeight="1" x14ac:dyDescent="0.4">
      <c r="A38" s="121" t="s">
        <v>64</v>
      </c>
      <c r="B38" s="122">
        <v>100</v>
      </c>
      <c r="C38" s="127">
        <v>1</v>
      </c>
      <c r="D38" s="128">
        <v>2688189</v>
      </c>
      <c r="E38" s="129">
        <f>IF(ISBLANK(D38),"-",$D$48/$D$45*D38)</f>
        <v>2708745.1250046352</v>
      </c>
      <c r="F38" s="128">
        <v>2897383</v>
      </c>
      <c r="G38" s="130">
        <f>IF(ISBLANK(F38),"-",$D$48/$F$45*F38)</f>
        <v>2733699.97999766</v>
      </c>
    </row>
    <row r="39" spans="1:7" ht="26.25" customHeight="1" x14ac:dyDescent="0.4">
      <c r="A39" s="121" t="s">
        <v>65</v>
      </c>
      <c r="B39" s="122">
        <v>1</v>
      </c>
      <c r="C39" s="131">
        <v>2</v>
      </c>
      <c r="D39" s="132">
        <v>2685845</v>
      </c>
      <c r="E39" s="133">
        <f>IF(ISBLANK(D39),"-",$D$48/$D$45*D39)</f>
        <v>2706383.2008344932</v>
      </c>
      <c r="F39" s="132">
        <v>2910206</v>
      </c>
      <c r="G39" s="134">
        <f>IF(ISBLANK(F39),"-",$D$48/$F$45*F39)</f>
        <v>2745798.5651151645</v>
      </c>
    </row>
    <row r="40" spans="1:7" ht="26.25" customHeight="1" x14ac:dyDescent="0.4">
      <c r="A40" s="121" t="s">
        <v>66</v>
      </c>
      <c r="B40" s="122">
        <v>1</v>
      </c>
      <c r="C40" s="131">
        <v>3</v>
      </c>
      <c r="D40" s="132">
        <v>2691842</v>
      </c>
      <c r="E40" s="133">
        <f>IF(ISBLANK(D40),"-",$D$48/$D$45*D40)</f>
        <v>2712426.0588755952</v>
      </c>
      <c r="F40" s="132">
        <v>2909966</v>
      </c>
      <c r="G40" s="134">
        <f>IF(ISBLANK(F40),"-",$D$48/$F$45*F40)</f>
        <v>2745572.1235314319</v>
      </c>
    </row>
    <row r="41" spans="1:7" ht="26.25" customHeight="1" x14ac:dyDescent="0.4">
      <c r="A41" s="121" t="s">
        <v>67</v>
      </c>
      <c r="B41" s="122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</row>
    <row r="42" spans="1:7" ht="27" customHeight="1" x14ac:dyDescent="0.4">
      <c r="A42" s="121" t="s">
        <v>68</v>
      </c>
      <c r="B42" s="122">
        <v>1</v>
      </c>
      <c r="C42" s="139" t="s">
        <v>69</v>
      </c>
      <c r="D42" s="140">
        <f>AVERAGE(D38:D41)</f>
        <v>2688625.3333333335</v>
      </c>
      <c r="E42" s="141">
        <f>AVERAGE(E38:E41)</f>
        <v>2709184.7949049077</v>
      </c>
      <c r="F42" s="140">
        <f>AVERAGE(F38:F41)</f>
        <v>2905851.6666666665</v>
      </c>
      <c r="G42" s="142">
        <f>AVERAGE(G38:G41)</f>
        <v>2741690.2228814187</v>
      </c>
    </row>
    <row r="43" spans="1:7" ht="26.25" customHeight="1" x14ac:dyDescent="0.4">
      <c r="A43" s="121" t="s">
        <v>70</v>
      </c>
      <c r="B43" s="122">
        <v>1</v>
      </c>
      <c r="C43" s="143" t="s">
        <v>96</v>
      </c>
      <c r="D43" s="144">
        <v>24.86</v>
      </c>
      <c r="E43" s="145"/>
      <c r="F43" s="144">
        <v>26.55</v>
      </c>
      <c r="G43" s="98"/>
    </row>
    <row r="44" spans="1:7" ht="26.25" customHeight="1" x14ac:dyDescent="0.4">
      <c r="A44" s="121" t="s">
        <v>71</v>
      </c>
      <c r="B44" s="122">
        <v>1</v>
      </c>
      <c r="C44" s="146" t="s">
        <v>97</v>
      </c>
      <c r="D44" s="147">
        <f>D43*$B$34</f>
        <v>24.86</v>
      </c>
      <c r="E44" s="148"/>
      <c r="F44" s="147">
        <f>F43*$B$34</f>
        <v>26.55</v>
      </c>
      <c r="G44" s="98"/>
    </row>
    <row r="45" spans="1:7" ht="19.5" customHeight="1" x14ac:dyDescent="0.3">
      <c r="A45" s="121" t="s">
        <v>72</v>
      </c>
      <c r="B45" s="149">
        <f>(B44/B43)*(B42/B41)*(B40/B39)*(B38/B37)*B36</f>
        <v>3333.3333333333335</v>
      </c>
      <c r="C45" s="146" t="s">
        <v>73</v>
      </c>
      <c r="D45" s="150">
        <f>D44*$B$30/100</f>
        <v>24.810279999999999</v>
      </c>
      <c r="E45" s="151"/>
      <c r="F45" s="150">
        <f>F44*$B$30/100</f>
        <v>26.4969</v>
      </c>
      <c r="G45" s="98"/>
    </row>
    <row r="46" spans="1:7" ht="19.5" customHeight="1" x14ac:dyDescent="0.3">
      <c r="A46" s="314" t="s">
        <v>74</v>
      </c>
      <c r="B46" s="315"/>
      <c r="C46" s="146" t="s">
        <v>75</v>
      </c>
      <c r="D46" s="147">
        <f>D45/$B$45</f>
        <v>7.4430839999999991E-3</v>
      </c>
      <c r="E46" s="151"/>
      <c r="F46" s="152">
        <f>F45/$B$45</f>
        <v>7.9490699999999991E-3</v>
      </c>
      <c r="G46" s="98"/>
    </row>
    <row r="47" spans="1:7" ht="27" customHeight="1" x14ac:dyDescent="0.4">
      <c r="A47" s="316"/>
      <c r="B47" s="317"/>
      <c r="C47" s="153" t="s">
        <v>106</v>
      </c>
      <c r="D47" s="154">
        <v>7.4999999999999997E-3</v>
      </c>
      <c r="E47" s="98"/>
      <c r="F47" s="155"/>
      <c r="G47" s="98"/>
    </row>
    <row r="48" spans="1:7" ht="18.75" customHeight="1" x14ac:dyDescent="0.3">
      <c r="A48" s="98"/>
      <c r="B48" s="98"/>
      <c r="C48" s="156" t="s">
        <v>76</v>
      </c>
      <c r="D48" s="150">
        <f>D47*$B$45</f>
        <v>25</v>
      </c>
      <c r="E48" s="98"/>
      <c r="F48" s="155"/>
      <c r="G48" s="98"/>
    </row>
    <row r="49" spans="1:7" ht="19.5" customHeight="1" x14ac:dyDescent="0.3">
      <c r="A49" s="98"/>
      <c r="B49" s="98"/>
      <c r="C49" s="157" t="s">
        <v>77</v>
      </c>
      <c r="D49" s="158">
        <f>D48/B34</f>
        <v>25</v>
      </c>
      <c r="E49" s="98"/>
      <c r="F49" s="155"/>
      <c r="G49" s="98"/>
    </row>
    <row r="50" spans="1:7" ht="18.75" customHeight="1" x14ac:dyDescent="0.3">
      <c r="A50" s="98"/>
      <c r="B50" s="98"/>
      <c r="C50" s="119" t="s">
        <v>78</v>
      </c>
      <c r="D50" s="159">
        <f>AVERAGE(E38:E41,G38:G41)</f>
        <v>2725437.5088931634</v>
      </c>
      <c r="E50" s="98"/>
      <c r="F50" s="160"/>
      <c r="G50" s="98"/>
    </row>
    <row r="51" spans="1:7" ht="18.75" customHeight="1" x14ac:dyDescent="0.3">
      <c r="A51" s="98"/>
      <c r="B51" s="98"/>
      <c r="C51" s="121" t="s">
        <v>79</v>
      </c>
      <c r="D51" s="161">
        <f>STDEV(E38:E41,G38:G41)/D50</f>
        <v>6.7640472182405658E-3</v>
      </c>
      <c r="E51" s="98"/>
      <c r="F51" s="160"/>
      <c r="G51" s="98"/>
    </row>
    <row r="52" spans="1:7" ht="19.5" customHeight="1" x14ac:dyDescent="0.3">
      <c r="A52" s="98"/>
      <c r="B52" s="98"/>
      <c r="C52" s="162" t="s">
        <v>20</v>
      </c>
      <c r="D52" s="163">
        <f>COUNT(E38:E41,G38:G41)</f>
        <v>6</v>
      </c>
      <c r="E52" s="98"/>
      <c r="F52" s="160"/>
      <c r="G52" s="98"/>
    </row>
    <row r="53" spans="1:7" ht="18.75" customHeight="1" x14ac:dyDescent="0.3">
      <c r="A53" s="98"/>
      <c r="B53" s="98"/>
      <c r="C53" s="98"/>
      <c r="D53" s="98"/>
      <c r="E53" s="98"/>
      <c r="F53" s="98"/>
      <c r="G53" s="98"/>
    </row>
    <row r="54" spans="1:7" ht="18.75" customHeight="1" x14ac:dyDescent="0.3">
      <c r="A54" s="99" t="s">
        <v>1</v>
      </c>
      <c r="B54" s="164" t="s">
        <v>80</v>
      </c>
      <c r="C54" s="98"/>
      <c r="D54" s="98"/>
      <c r="E54" s="98"/>
      <c r="F54" s="98"/>
      <c r="G54" s="98"/>
    </row>
    <row r="55" spans="1:7" ht="18.75" customHeight="1" x14ac:dyDescent="0.3">
      <c r="A55" s="98" t="s">
        <v>81</v>
      </c>
      <c r="B55" s="165" t="str">
        <f>B21</f>
        <v>Each light orange tablet (21) contains: Levonorgesterl USP 0.15mg</v>
      </c>
      <c r="C55" s="98"/>
      <c r="D55" s="98"/>
      <c r="E55" s="98"/>
      <c r="F55" s="98"/>
      <c r="G55" s="98"/>
    </row>
    <row r="56" spans="1:7" ht="26.25" customHeight="1" x14ac:dyDescent="0.4">
      <c r="A56" s="166" t="s">
        <v>82</v>
      </c>
      <c r="B56" s="167">
        <v>0.03</v>
      </c>
      <c r="C56" s="98" t="str">
        <f>B20</f>
        <v>Levonorgestrel 0.15mg,Ethinylestradiol 0.03mg.</v>
      </c>
      <c r="D56" s="98"/>
      <c r="E56" s="98"/>
      <c r="F56" s="98"/>
      <c r="G56" s="98"/>
    </row>
    <row r="57" spans="1:7" ht="17.25" customHeight="1" x14ac:dyDescent="0.3">
      <c r="A57" s="168" t="s">
        <v>83</v>
      </c>
      <c r="B57" s="168">
        <f>Uniformity!C46</f>
        <v>80.461500000000001</v>
      </c>
      <c r="C57" s="168"/>
      <c r="D57" s="169"/>
      <c r="E57" s="169"/>
      <c r="F57" s="169"/>
      <c r="G57" s="169"/>
    </row>
    <row r="58" spans="1:7" ht="57.75" customHeight="1" x14ac:dyDescent="0.4">
      <c r="A58" s="119" t="s">
        <v>107</v>
      </c>
      <c r="B58" s="120">
        <v>5</v>
      </c>
      <c r="C58" s="170" t="s">
        <v>108</v>
      </c>
      <c r="D58" s="171" t="s">
        <v>109</v>
      </c>
      <c r="E58" s="172" t="s">
        <v>110</v>
      </c>
      <c r="F58" s="173" t="s">
        <v>111</v>
      </c>
      <c r="G58" s="174" t="s">
        <v>112</v>
      </c>
    </row>
    <row r="59" spans="1:7" ht="26.25" customHeight="1" x14ac:dyDescent="0.4">
      <c r="A59" s="121" t="s">
        <v>60</v>
      </c>
      <c r="B59" s="122">
        <v>1</v>
      </c>
      <c r="C59" s="175">
        <v>1</v>
      </c>
      <c r="D59" s="284">
        <v>2114249</v>
      </c>
      <c r="E59" s="176">
        <f t="shared" ref="E59:E68" si="0">IF(ISBLANK(D59),"-",D59/$D$50*$D$47*$B$67)</f>
        <v>2.9090499136851765E-2</v>
      </c>
      <c r="F59" s="177">
        <f t="shared" ref="F59:F68" si="1">IF(ISBLANK(D59),"-",E59/$E$70*100)</f>
        <v>98.879727352322575</v>
      </c>
      <c r="G59" s="178">
        <f t="shared" ref="G59:G68" si="2">IF(ISBLANK(D59),"-",E59/$B$56*100)</f>
        <v>96.968330456172552</v>
      </c>
    </row>
    <row r="60" spans="1:7" ht="26.25" customHeight="1" x14ac:dyDescent="0.4">
      <c r="A60" s="121" t="s">
        <v>64</v>
      </c>
      <c r="B60" s="122">
        <v>1</v>
      </c>
      <c r="C60" s="179">
        <v>2</v>
      </c>
      <c r="D60" s="285">
        <v>2130094</v>
      </c>
      <c r="E60" s="180">
        <f t="shared" si="0"/>
        <v>2.9308514592374466E-2</v>
      </c>
      <c r="F60" s="181">
        <f t="shared" si="1"/>
        <v>99.620770285249378</v>
      </c>
      <c r="G60" s="182">
        <f t="shared" si="2"/>
        <v>97.695048641248235</v>
      </c>
    </row>
    <row r="61" spans="1:7" ht="26.25" customHeight="1" x14ac:dyDescent="0.4">
      <c r="A61" s="121" t="s">
        <v>65</v>
      </c>
      <c r="B61" s="122">
        <v>1</v>
      </c>
      <c r="C61" s="179">
        <v>3</v>
      </c>
      <c r="D61" s="285">
        <v>2134202</v>
      </c>
      <c r="E61" s="180">
        <f t="shared" si="0"/>
        <v>2.9365037627482531E-2</v>
      </c>
      <c r="F61" s="181">
        <f t="shared" si="1"/>
        <v>99.812894259276717</v>
      </c>
      <c r="G61" s="182">
        <f t="shared" si="2"/>
        <v>97.883458758275111</v>
      </c>
    </row>
    <row r="62" spans="1:7" ht="26.25" customHeight="1" x14ac:dyDescent="0.4">
      <c r="A62" s="121" t="s">
        <v>66</v>
      </c>
      <c r="B62" s="122">
        <v>1</v>
      </c>
      <c r="C62" s="179">
        <v>4</v>
      </c>
      <c r="D62" s="285">
        <v>2212126</v>
      </c>
      <c r="E62" s="180">
        <f t="shared" si="0"/>
        <v>3.0437214109410648E-2</v>
      </c>
      <c r="F62" s="181">
        <f t="shared" si="1"/>
        <v>103.45726342970197</v>
      </c>
      <c r="G62" s="182">
        <f t="shared" si="2"/>
        <v>101.45738036470216</v>
      </c>
    </row>
    <row r="63" spans="1:7" ht="26.25" customHeight="1" x14ac:dyDescent="0.4">
      <c r="A63" s="121" t="s">
        <v>67</v>
      </c>
      <c r="B63" s="122">
        <v>1</v>
      </c>
      <c r="C63" s="179">
        <v>5</v>
      </c>
      <c r="D63" s="285">
        <v>2128042</v>
      </c>
      <c r="E63" s="180">
        <f t="shared" si="0"/>
        <v>2.9280280593338013E-2</v>
      </c>
      <c r="F63" s="181">
        <f t="shared" si="1"/>
        <v>99.524801834737161</v>
      </c>
      <c r="G63" s="182">
        <f t="shared" si="2"/>
        <v>97.600935311126719</v>
      </c>
    </row>
    <row r="64" spans="1:7" ht="26.25" customHeight="1" x14ac:dyDescent="0.4">
      <c r="A64" s="121" t="s">
        <v>68</v>
      </c>
      <c r="B64" s="122">
        <v>1</v>
      </c>
      <c r="C64" s="179">
        <v>6</v>
      </c>
      <c r="D64" s="285">
        <v>2124664</v>
      </c>
      <c r="E64" s="180">
        <f t="shared" si="0"/>
        <v>2.9233801817146431E-2</v>
      </c>
      <c r="F64" s="181">
        <f t="shared" si="1"/>
        <v>99.366818683747809</v>
      </c>
      <c r="G64" s="182">
        <f t="shared" si="2"/>
        <v>97.446006057154776</v>
      </c>
    </row>
    <row r="65" spans="1:7" ht="26.25" customHeight="1" x14ac:dyDescent="0.4">
      <c r="A65" s="121" t="s">
        <v>70</v>
      </c>
      <c r="B65" s="122">
        <v>1</v>
      </c>
      <c r="C65" s="179">
        <v>7</v>
      </c>
      <c r="D65" s="285">
        <v>2106826</v>
      </c>
      <c r="E65" s="180">
        <f t="shared" si="0"/>
        <v>2.8988364158855869E-2</v>
      </c>
      <c r="F65" s="181">
        <f t="shared" si="1"/>
        <v>98.532566627102284</v>
      </c>
      <c r="G65" s="182">
        <f t="shared" si="2"/>
        <v>96.627880529519558</v>
      </c>
    </row>
    <row r="66" spans="1:7" ht="26.25" customHeight="1" x14ac:dyDescent="0.4">
      <c r="A66" s="121" t="s">
        <v>71</v>
      </c>
      <c r="B66" s="122">
        <v>1</v>
      </c>
      <c r="C66" s="179">
        <v>8</v>
      </c>
      <c r="D66" s="285">
        <v>2136096</v>
      </c>
      <c r="E66" s="180">
        <f t="shared" si="0"/>
        <v>2.9391097663630211E-2</v>
      </c>
      <c r="F66" s="181">
        <f t="shared" si="1"/>
        <v>99.901473326172479</v>
      </c>
      <c r="G66" s="182">
        <f t="shared" si="2"/>
        <v>97.970325545434051</v>
      </c>
    </row>
    <row r="67" spans="1:7" ht="27" customHeight="1" x14ac:dyDescent="0.4">
      <c r="A67" s="121" t="s">
        <v>72</v>
      </c>
      <c r="B67" s="149">
        <f>(B66/B65)*(B64/B63)*(B62/B61)*(B60/B59)*B58</f>
        <v>5</v>
      </c>
      <c r="C67" s="179">
        <v>9</v>
      </c>
      <c r="D67" s="285">
        <v>2146721</v>
      </c>
      <c r="E67" s="180">
        <f t="shared" si="0"/>
        <v>2.953728978827071E-2</v>
      </c>
      <c r="F67" s="181">
        <f t="shared" si="1"/>
        <v>100.39838599025246</v>
      </c>
      <c r="G67" s="182">
        <f t="shared" si="2"/>
        <v>98.457632627569041</v>
      </c>
    </row>
    <row r="68" spans="1:7" ht="27" customHeight="1" x14ac:dyDescent="0.4">
      <c r="A68" s="314" t="s">
        <v>74</v>
      </c>
      <c r="B68" s="321"/>
      <c r="C68" s="183">
        <v>10</v>
      </c>
      <c r="D68" s="286">
        <v>2149007</v>
      </c>
      <c r="E68" s="184">
        <f t="shared" si="0"/>
        <v>2.9568743453863948E-2</v>
      </c>
      <c r="F68" s="185">
        <f t="shared" si="1"/>
        <v>100.50529821143709</v>
      </c>
      <c r="G68" s="186">
        <f t="shared" si="2"/>
        <v>98.562478179546503</v>
      </c>
    </row>
    <row r="69" spans="1:7" ht="19.5" customHeight="1" x14ac:dyDescent="0.3">
      <c r="A69" s="316"/>
      <c r="B69" s="322"/>
      <c r="C69" s="179"/>
      <c r="D69" s="151"/>
      <c r="E69" s="187"/>
      <c r="F69" s="169"/>
      <c r="G69" s="188"/>
    </row>
    <row r="70" spans="1:7" ht="26.25" customHeight="1" x14ac:dyDescent="0.4">
      <c r="A70" s="169"/>
      <c r="B70" s="169"/>
      <c r="C70" s="189" t="s">
        <v>113</v>
      </c>
      <c r="D70" s="190"/>
      <c r="E70" s="191">
        <f>AVERAGE(E59:E68)</f>
        <v>2.9420084294122462E-2</v>
      </c>
      <c r="F70" s="191">
        <f>AVERAGE(F59:F68)</f>
        <v>99.999999999999986</v>
      </c>
      <c r="G70" s="192">
        <f>AVERAGE(G59:G68)</f>
        <v>98.066947647074869</v>
      </c>
    </row>
    <row r="71" spans="1:7" ht="26.25" customHeight="1" x14ac:dyDescent="0.4">
      <c r="A71" s="169"/>
      <c r="B71" s="169"/>
      <c r="C71" s="189"/>
      <c r="D71" s="190"/>
      <c r="E71" s="193">
        <f>STDEV(E59:E68)/E70</f>
        <v>1.3577081476121069E-2</v>
      </c>
      <c r="F71" s="193">
        <f>STDEV(F59:F68)/F70</f>
        <v>1.3577081476121085E-2</v>
      </c>
      <c r="G71" s="194">
        <f>STDEV(G59:G68)/G70</f>
        <v>1.3577081476121067E-2</v>
      </c>
    </row>
    <row r="72" spans="1:7" ht="27" customHeight="1" x14ac:dyDescent="0.4">
      <c r="A72" s="169"/>
      <c r="B72" s="169"/>
      <c r="C72" s="195"/>
      <c r="D72" s="196"/>
      <c r="E72" s="197">
        <f>COUNT(E59:E68)</f>
        <v>10</v>
      </c>
      <c r="F72" s="197">
        <f>COUNT(F59:F68)</f>
        <v>10</v>
      </c>
      <c r="G72" s="198">
        <f>COUNT(G59:G68)</f>
        <v>10</v>
      </c>
    </row>
    <row r="73" spans="1:7" ht="18.75" customHeight="1" x14ac:dyDescent="0.3">
      <c r="A73" s="169"/>
      <c r="B73" s="199"/>
      <c r="C73" s="199"/>
      <c r="D73" s="148"/>
      <c r="E73" s="190"/>
      <c r="F73" s="145"/>
      <c r="G73" s="200"/>
    </row>
    <row r="74" spans="1:7" ht="18.75" customHeight="1" x14ac:dyDescent="0.3">
      <c r="A74" s="108" t="s">
        <v>114</v>
      </c>
      <c r="B74" s="201" t="s">
        <v>92</v>
      </c>
      <c r="C74" s="305" t="str">
        <f>B20</f>
        <v>Levonorgestrel 0.15mg,Ethinylestradiol 0.03mg.</v>
      </c>
      <c r="D74" s="305"/>
      <c r="E74" s="202" t="s">
        <v>93</v>
      </c>
      <c r="F74" s="202"/>
      <c r="G74" s="203">
        <f>G70</f>
        <v>98.066947647074869</v>
      </c>
    </row>
    <row r="75" spans="1:7" ht="18.75" customHeight="1" x14ac:dyDescent="0.3">
      <c r="A75" s="108"/>
      <c r="B75" s="201"/>
      <c r="C75" s="204"/>
      <c r="D75" s="204"/>
      <c r="E75" s="202"/>
      <c r="F75" s="202"/>
      <c r="G75" s="205"/>
    </row>
    <row r="76" spans="1:7" ht="18.75" customHeight="1" x14ac:dyDescent="0.3">
      <c r="A76" s="99" t="s">
        <v>1</v>
      </c>
      <c r="B76" s="206" t="s">
        <v>115</v>
      </c>
      <c r="C76" s="98"/>
      <c r="D76" s="98"/>
      <c r="E76" s="98"/>
      <c r="F76" s="98"/>
      <c r="G76" s="169"/>
    </row>
    <row r="77" spans="1:7" ht="18.75" customHeight="1" x14ac:dyDescent="0.3">
      <c r="A77" s="99"/>
      <c r="B77" s="164"/>
      <c r="C77" s="98"/>
      <c r="D77" s="98"/>
      <c r="E77" s="98"/>
      <c r="F77" s="98"/>
      <c r="G77" s="169"/>
    </row>
    <row r="78" spans="1:7" ht="18.75" customHeight="1" x14ac:dyDescent="0.3">
      <c r="A78" s="169"/>
      <c r="B78" s="323" t="s">
        <v>116</v>
      </c>
      <c r="C78" s="324"/>
      <c r="D78" s="98"/>
      <c r="E78" s="169"/>
      <c r="F78" s="169"/>
      <c r="G78" s="169"/>
    </row>
    <row r="79" spans="1:7" ht="18.75" customHeight="1" x14ac:dyDescent="0.3">
      <c r="A79" s="169"/>
      <c r="B79" s="207" t="s">
        <v>43</v>
      </c>
      <c r="C79" s="208">
        <f>G70</f>
        <v>98.066947647074869</v>
      </c>
      <c r="D79" s="98"/>
      <c r="E79" s="169"/>
      <c r="F79" s="169"/>
      <c r="G79" s="169"/>
    </row>
    <row r="80" spans="1:7" ht="26.25" customHeight="1" x14ac:dyDescent="0.4">
      <c r="A80" s="169"/>
      <c r="B80" s="207" t="s">
        <v>117</v>
      </c>
      <c r="C80" s="209">
        <v>2.4</v>
      </c>
      <c r="D80" s="98"/>
      <c r="E80" s="169"/>
      <c r="F80" s="169"/>
      <c r="G80" s="169"/>
    </row>
    <row r="81" spans="1:7" ht="18.75" customHeight="1" x14ac:dyDescent="0.3">
      <c r="A81" s="169"/>
      <c r="B81" s="207" t="s">
        <v>118</v>
      </c>
      <c r="C81" s="208">
        <f>STDEV(G59:G68)</f>
        <v>1.3314629383188348</v>
      </c>
      <c r="D81" s="98"/>
      <c r="E81" s="169"/>
      <c r="F81" s="169"/>
      <c r="G81" s="169"/>
    </row>
    <row r="82" spans="1:7" ht="18.75" customHeight="1" x14ac:dyDescent="0.3">
      <c r="A82" s="169"/>
      <c r="B82" s="207" t="s">
        <v>119</v>
      </c>
      <c r="C82" s="208">
        <f>IF(OR(G70&lt;98.5,G70&gt;101.5),(IF(98.5&gt;G70,98.5,101.5)),C79)</f>
        <v>98.5</v>
      </c>
      <c r="D82" s="98"/>
      <c r="E82" s="169"/>
      <c r="F82" s="169"/>
      <c r="G82" s="169"/>
    </row>
    <row r="83" spans="1:7" ht="18.75" customHeight="1" x14ac:dyDescent="0.3">
      <c r="A83" s="169"/>
      <c r="B83" s="207" t="s">
        <v>120</v>
      </c>
      <c r="C83" s="210">
        <f>ABS(C82-C79)+(C80*C81)</f>
        <v>3.6285634048903344</v>
      </c>
      <c r="D83" s="98"/>
      <c r="E83" s="169"/>
      <c r="F83" s="169"/>
      <c r="G83" s="169"/>
    </row>
    <row r="84" spans="1:7" ht="18.75" customHeight="1" x14ac:dyDescent="0.3">
      <c r="A84" s="166"/>
      <c r="B84" s="211"/>
      <c r="C84" s="98"/>
      <c r="D84" s="98"/>
      <c r="E84" s="98"/>
      <c r="F84" s="98"/>
      <c r="G84" s="98"/>
    </row>
    <row r="85" spans="1:7" ht="18.75" customHeight="1" x14ac:dyDescent="0.3">
      <c r="A85" s="107" t="s">
        <v>94</v>
      </c>
      <c r="B85" s="107" t="s">
        <v>95</v>
      </c>
      <c r="C85" s="98"/>
      <c r="D85" s="98"/>
      <c r="E85" s="98"/>
      <c r="F85" s="98"/>
      <c r="G85" s="98"/>
    </row>
    <row r="86" spans="1:7" ht="18.75" customHeight="1" x14ac:dyDescent="0.3">
      <c r="A86" s="107"/>
      <c r="B86" s="107"/>
      <c r="C86" s="98"/>
      <c r="D86" s="98"/>
      <c r="E86" s="98"/>
      <c r="F86" s="98"/>
      <c r="G86" s="98"/>
    </row>
    <row r="87" spans="1:7" ht="26.25" customHeight="1" x14ac:dyDescent="0.4">
      <c r="A87" s="108" t="s">
        <v>4</v>
      </c>
      <c r="B87" s="325"/>
      <c r="C87" s="325"/>
      <c r="D87" s="98"/>
      <c r="E87" s="98"/>
      <c r="F87" s="98"/>
      <c r="G87" s="98"/>
    </row>
    <row r="88" spans="1:7" ht="26.25" customHeight="1" x14ac:dyDescent="0.4">
      <c r="A88" s="109" t="s">
        <v>48</v>
      </c>
      <c r="B88" s="318"/>
      <c r="C88" s="318"/>
      <c r="D88" s="98"/>
      <c r="E88" s="98"/>
      <c r="F88" s="98"/>
      <c r="G88" s="98"/>
    </row>
    <row r="89" spans="1:7" ht="27" customHeight="1" x14ac:dyDescent="0.4">
      <c r="A89" s="109" t="s">
        <v>6</v>
      </c>
      <c r="B89" s="110">
        <f>B32</f>
        <v>1</v>
      </c>
      <c r="C89" s="98"/>
      <c r="D89" s="98"/>
      <c r="E89" s="98"/>
      <c r="F89" s="98"/>
      <c r="G89" s="98"/>
    </row>
    <row r="90" spans="1:7" ht="27" customHeight="1" x14ac:dyDescent="0.4">
      <c r="A90" s="109" t="s">
        <v>49</v>
      </c>
      <c r="B90" s="110">
        <f>B33</f>
        <v>0</v>
      </c>
      <c r="C90" s="307" t="s">
        <v>50</v>
      </c>
      <c r="D90" s="308"/>
      <c r="E90" s="308"/>
      <c r="F90" s="308"/>
      <c r="G90" s="309"/>
    </row>
    <row r="91" spans="1:7" ht="18.75" customHeight="1" x14ac:dyDescent="0.3">
      <c r="A91" s="109" t="s">
        <v>51</v>
      </c>
      <c r="B91" s="113">
        <f>B89-B90</f>
        <v>1</v>
      </c>
      <c r="C91" s="212"/>
      <c r="D91" s="212"/>
      <c r="E91" s="212"/>
      <c r="F91" s="212"/>
      <c r="G91" s="213"/>
    </row>
    <row r="92" spans="1:7" ht="19.5" customHeight="1" x14ac:dyDescent="0.3">
      <c r="A92" s="109"/>
      <c r="B92" s="113"/>
      <c r="C92" s="212"/>
      <c r="D92" s="212"/>
      <c r="E92" s="212"/>
      <c r="F92" s="212"/>
      <c r="G92" s="213"/>
    </row>
    <row r="93" spans="1:7" ht="27" customHeight="1" x14ac:dyDescent="0.4">
      <c r="A93" s="109" t="s">
        <v>52</v>
      </c>
      <c r="B93" s="115">
        <v>1</v>
      </c>
      <c r="C93" s="310" t="s">
        <v>121</v>
      </c>
      <c r="D93" s="311"/>
      <c r="E93" s="311"/>
      <c r="F93" s="311"/>
      <c r="G93" s="311"/>
    </row>
    <row r="94" spans="1:7" ht="27" customHeight="1" x14ac:dyDescent="0.4">
      <c r="A94" s="109" t="s">
        <v>54</v>
      </c>
      <c r="B94" s="115">
        <v>1</v>
      </c>
      <c r="C94" s="310" t="s">
        <v>122</v>
      </c>
      <c r="D94" s="311"/>
      <c r="E94" s="311"/>
      <c r="F94" s="311"/>
      <c r="G94" s="311"/>
    </row>
    <row r="95" spans="1:7" ht="18.75" customHeight="1" x14ac:dyDescent="0.3">
      <c r="A95" s="109"/>
      <c r="B95" s="116"/>
      <c r="C95" s="117"/>
      <c r="D95" s="117"/>
      <c r="E95" s="117"/>
      <c r="F95" s="117"/>
      <c r="G95" s="117"/>
    </row>
    <row r="96" spans="1:7" ht="18.75" customHeight="1" x14ac:dyDescent="0.3">
      <c r="A96" s="109" t="s">
        <v>56</v>
      </c>
      <c r="B96" s="118">
        <f>B93/B94</f>
        <v>1</v>
      </c>
      <c r="C96" s="98" t="s">
        <v>57</v>
      </c>
      <c r="D96" s="98"/>
      <c r="E96" s="98"/>
      <c r="F96" s="98"/>
      <c r="G96" s="98"/>
    </row>
    <row r="97" spans="1:7" ht="19.5" customHeight="1" x14ac:dyDescent="0.3">
      <c r="A97" s="107"/>
      <c r="B97" s="107"/>
      <c r="C97" s="98"/>
      <c r="D97" s="98"/>
      <c r="E97" s="98"/>
      <c r="F97" s="98"/>
      <c r="G97" s="98"/>
    </row>
    <row r="98" spans="1:7" ht="27" customHeight="1" x14ac:dyDescent="0.4">
      <c r="A98" s="119" t="s">
        <v>105</v>
      </c>
      <c r="B98" s="214">
        <v>1</v>
      </c>
      <c r="C98" s="98"/>
      <c r="D98" s="215" t="s">
        <v>58</v>
      </c>
      <c r="E98" s="216"/>
      <c r="F98" s="312" t="s">
        <v>59</v>
      </c>
      <c r="G98" s="313"/>
    </row>
    <row r="99" spans="1:7" ht="26.25" customHeight="1" x14ac:dyDescent="0.4">
      <c r="A99" s="121" t="s">
        <v>60</v>
      </c>
      <c r="B99" s="217">
        <v>1</v>
      </c>
      <c r="C99" s="123" t="s">
        <v>61</v>
      </c>
      <c r="D99" s="124" t="s">
        <v>62</v>
      </c>
      <c r="E99" s="125" t="s">
        <v>63</v>
      </c>
      <c r="F99" s="124" t="s">
        <v>62</v>
      </c>
      <c r="G99" s="126" t="s">
        <v>63</v>
      </c>
    </row>
    <row r="100" spans="1:7" ht="26.25" customHeight="1" x14ac:dyDescent="0.4">
      <c r="A100" s="121" t="s">
        <v>64</v>
      </c>
      <c r="B100" s="217">
        <v>1</v>
      </c>
      <c r="C100" s="127">
        <v>1</v>
      </c>
      <c r="D100" s="128"/>
      <c r="E100" s="218" t="str">
        <f>IF(ISBLANK(D100),"-",$D$110/$D$107*D100)</f>
        <v>-</v>
      </c>
      <c r="F100" s="219"/>
      <c r="G100" s="130" t="str">
        <f>IF(ISBLANK(F100),"-",$D$110/$F$107*F100)</f>
        <v>-</v>
      </c>
    </row>
    <row r="101" spans="1:7" ht="26.25" customHeight="1" x14ac:dyDescent="0.4">
      <c r="A101" s="121" t="s">
        <v>65</v>
      </c>
      <c r="B101" s="217">
        <v>1</v>
      </c>
      <c r="C101" s="131">
        <v>2</v>
      </c>
      <c r="D101" s="132"/>
      <c r="E101" s="220" t="str">
        <f>IF(ISBLANK(D101),"-",$D$110/$D$107*D101)</f>
        <v>-</v>
      </c>
      <c r="F101" s="110"/>
      <c r="G101" s="134" t="str">
        <f>IF(ISBLANK(F101),"-",$D$110/$F$107*F101)</f>
        <v>-</v>
      </c>
    </row>
    <row r="102" spans="1:7" ht="26.25" customHeight="1" x14ac:dyDescent="0.4">
      <c r="A102" s="121" t="s">
        <v>66</v>
      </c>
      <c r="B102" s="217">
        <v>1</v>
      </c>
      <c r="C102" s="131">
        <v>3</v>
      </c>
      <c r="D102" s="132"/>
      <c r="E102" s="220" t="str">
        <f>IF(ISBLANK(D102),"-",$D$110/$D$107*D102)</f>
        <v>-</v>
      </c>
      <c r="F102" s="221"/>
      <c r="G102" s="134" t="str">
        <f>IF(ISBLANK(F102),"-",$D$110/$F$107*F102)</f>
        <v>-</v>
      </c>
    </row>
    <row r="103" spans="1:7" ht="26.25" customHeight="1" x14ac:dyDescent="0.4">
      <c r="A103" s="121" t="s">
        <v>67</v>
      </c>
      <c r="B103" s="217">
        <v>1</v>
      </c>
      <c r="C103" s="135">
        <v>4</v>
      </c>
      <c r="D103" s="136"/>
      <c r="E103" s="222" t="str">
        <f>IF(ISBLANK(D103),"-",$D$110/$D$107*D103)</f>
        <v>-</v>
      </c>
      <c r="F103" s="223"/>
      <c r="G103" s="138" t="str">
        <f>IF(ISBLANK(F103),"-",$D$110/$F$107*F103)</f>
        <v>-</v>
      </c>
    </row>
    <row r="104" spans="1:7" ht="27" customHeight="1" x14ac:dyDescent="0.4">
      <c r="A104" s="121" t="s">
        <v>68</v>
      </c>
      <c r="B104" s="217">
        <v>1</v>
      </c>
      <c r="C104" s="139" t="s">
        <v>69</v>
      </c>
      <c r="D104" s="224" t="e">
        <f>AVERAGE(D100:D103)</f>
        <v>#DIV/0!</v>
      </c>
      <c r="E104" s="141" t="e">
        <f>AVERAGE(E100:E103)</f>
        <v>#DIV/0!</v>
      </c>
      <c r="F104" s="224" t="e">
        <f>AVERAGE(F100:F103)</f>
        <v>#DIV/0!</v>
      </c>
      <c r="G104" s="225" t="e">
        <f>AVERAGE(G100:G103)</f>
        <v>#DIV/0!</v>
      </c>
    </row>
    <row r="105" spans="1:7" ht="26.25" customHeight="1" x14ac:dyDescent="0.4">
      <c r="A105" s="121" t="s">
        <v>70</v>
      </c>
      <c r="B105" s="217">
        <v>1</v>
      </c>
      <c r="C105" s="143" t="s">
        <v>96</v>
      </c>
      <c r="D105" s="226"/>
      <c r="E105" s="145"/>
      <c r="F105" s="144"/>
      <c r="G105" s="98"/>
    </row>
    <row r="106" spans="1:7" ht="26.25" customHeight="1" x14ac:dyDescent="0.4">
      <c r="A106" s="121" t="s">
        <v>71</v>
      </c>
      <c r="B106" s="217">
        <v>1</v>
      </c>
      <c r="C106" s="146" t="s">
        <v>97</v>
      </c>
      <c r="D106" s="227">
        <f>D105*$B$96</f>
        <v>0</v>
      </c>
      <c r="E106" s="148"/>
      <c r="F106" s="147">
        <f>F105*$B$96</f>
        <v>0</v>
      </c>
      <c r="G106" s="98"/>
    </row>
    <row r="107" spans="1:7" ht="19.5" customHeight="1" x14ac:dyDescent="0.3">
      <c r="A107" s="121" t="s">
        <v>72</v>
      </c>
      <c r="B107" s="259">
        <f>(B106/B105)*(B104/B103)*(B102/B101)*(B100/B99)*B98</f>
        <v>1</v>
      </c>
      <c r="C107" s="146" t="s">
        <v>73</v>
      </c>
      <c r="D107" s="228">
        <f>D106*$B$91/100</f>
        <v>0</v>
      </c>
      <c r="E107" s="151"/>
      <c r="F107" s="150">
        <f>F106*$B$91/100</f>
        <v>0</v>
      </c>
      <c r="G107" s="98"/>
    </row>
    <row r="108" spans="1:7" ht="19.5" customHeight="1" x14ac:dyDescent="0.3">
      <c r="A108" s="314" t="s">
        <v>74</v>
      </c>
      <c r="B108" s="315"/>
      <c r="C108" s="146" t="s">
        <v>75</v>
      </c>
      <c r="D108" s="227">
        <f>D107/$B$107</f>
        <v>0</v>
      </c>
      <c r="E108" s="151"/>
      <c r="F108" s="152">
        <f>F107/$B$107</f>
        <v>0</v>
      </c>
      <c r="G108" s="229"/>
    </row>
    <row r="109" spans="1:7" ht="19.5" customHeight="1" x14ac:dyDescent="0.3">
      <c r="A109" s="316"/>
      <c r="B109" s="317"/>
      <c r="C109" s="283" t="s">
        <v>106</v>
      </c>
      <c r="D109" s="231">
        <f>$B$56/$B$125</f>
        <v>0.03</v>
      </c>
      <c r="E109" s="98"/>
      <c r="F109" s="155"/>
      <c r="G109" s="232"/>
    </row>
    <row r="110" spans="1:7" ht="18.75" customHeight="1" x14ac:dyDescent="0.3">
      <c r="A110" s="98"/>
      <c r="B110" s="98"/>
      <c r="C110" s="230" t="s">
        <v>76</v>
      </c>
      <c r="D110" s="227">
        <f>D109*$B$107</f>
        <v>0.03</v>
      </c>
      <c r="E110" s="98"/>
      <c r="F110" s="155"/>
      <c r="G110" s="229"/>
    </row>
    <row r="111" spans="1:7" ht="19.5" customHeight="1" x14ac:dyDescent="0.3">
      <c r="A111" s="98"/>
      <c r="B111" s="98"/>
      <c r="C111" s="233" t="s">
        <v>77</v>
      </c>
      <c r="D111" s="234">
        <f>D110/B96</f>
        <v>0.03</v>
      </c>
      <c r="E111" s="98"/>
      <c r="F111" s="160"/>
      <c r="G111" s="229"/>
    </row>
    <row r="112" spans="1:7" ht="18.75" customHeight="1" x14ac:dyDescent="0.3">
      <c r="A112" s="98"/>
      <c r="B112" s="98"/>
      <c r="C112" s="235" t="s">
        <v>78</v>
      </c>
      <c r="D112" s="236" t="e">
        <f>AVERAGE(E100:E103,G100:G103)</f>
        <v>#DIV/0!</v>
      </c>
      <c r="E112" s="98"/>
      <c r="F112" s="160"/>
      <c r="G112" s="237"/>
    </row>
    <row r="113" spans="1:7" ht="18.75" customHeight="1" x14ac:dyDescent="0.3">
      <c r="A113" s="98"/>
      <c r="B113" s="98"/>
      <c r="C113" s="238" t="s">
        <v>79</v>
      </c>
      <c r="D113" s="239" t="e">
        <f>STDEV(E100:E103,G100:G103)/D112</f>
        <v>#DIV/0!</v>
      </c>
      <c r="E113" s="98"/>
      <c r="F113" s="160"/>
      <c r="G113" s="229"/>
    </row>
    <row r="114" spans="1:7" ht="19.5" customHeight="1" x14ac:dyDescent="0.3">
      <c r="A114" s="98"/>
      <c r="B114" s="98"/>
      <c r="C114" s="240" t="s">
        <v>20</v>
      </c>
      <c r="D114" s="241">
        <f>COUNT(E100:E103,G100:G103)</f>
        <v>0</v>
      </c>
      <c r="E114" s="98"/>
      <c r="F114" s="160"/>
      <c r="G114" s="229"/>
    </row>
    <row r="115" spans="1:7" ht="19.5" customHeight="1" x14ac:dyDescent="0.3">
      <c r="A115" s="99"/>
      <c r="B115" s="99"/>
      <c r="C115" s="99"/>
      <c r="D115" s="99"/>
      <c r="E115" s="99"/>
      <c r="F115" s="98"/>
      <c r="G115" s="98"/>
    </row>
    <row r="116" spans="1:7" ht="26.25" customHeight="1" x14ac:dyDescent="0.4">
      <c r="A116" s="119" t="s">
        <v>98</v>
      </c>
      <c r="B116" s="214">
        <v>1</v>
      </c>
      <c r="C116" s="242" t="s">
        <v>123</v>
      </c>
      <c r="D116" s="243" t="s">
        <v>62</v>
      </c>
      <c r="E116" s="244" t="s">
        <v>99</v>
      </c>
      <c r="F116" s="245" t="s">
        <v>100</v>
      </c>
      <c r="G116" s="98"/>
    </row>
    <row r="117" spans="1:7" ht="26.25" customHeight="1" x14ac:dyDescent="0.4">
      <c r="A117" s="121" t="s">
        <v>101</v>
      </c>
      <c r="B117" s="217">
        <v>1</v>
      </c>
      <c r="C117" s="179">
        <v>1</v>
      </c>
      <c r="D117" s="246"/>
      <c r="E117" s="247" t="str">
        <f t="shared" ref="E117:E122" si="3">IF(ISBLANK(D117),"-",D117/$D$112*$D$109*$B$125)</f>
        <v>-</v>
      </c>
      <c r="F117" s="248" t="str">
        <f t="shared" ref="F117:F122" si="4">IF(ISBLANK(D117), "-", E117/$B$56)</f>
        <v>-</v>
      </c>
      <c r="G117" s="98"/>
    </row>
    <row r="118" spans="1:7" ht="26.25" customHeight="1" x14ac:dyDescent="0.4">
      <c r="A118" s="121" t="s">
        <v>84</v>
      </c>
      <c r="B118" s="217">
        <v>1</v>
      </c>
      <c r="C118" s="179">
        <v>2</v>
      </c>
      <c r="D118" s="246"/>
      <c r="E118" s="249" t="str">
        <f t="shared" si="3"/>
        <v>-</v>
      </c>
      <c r="F118" s="250" t="str">
        <f t="shared" si="4"/>
        <v>-</v>
      </c>
      <c r="G118" s="98"/>
    </row>
    <row r="119" spans="1:7" ht="26.25" customHeight="1" x14ac:dyDescent="0.4">
      <c r="A119" s="121" t="s">
        <v>85</v>
      </c>
      <c r="B119" s="217">
        <v>1</v>
      </c>
      <c r="C119" s="179">
        <v>3</v>
      </c>
      <c r="D119" s="246"/>
      <c r="E119" s="249" t="str">
        <f t="shared" si="3"/>
        <v>-</v>
      </c>
      <c r="F119" s="250" t="str">
        <f t="shared" si="4"/>
        <v>-</v>
      </c>
      <c r="G119" s="98"/>
    </row>
    <row r="120" spans="1:7" ht="26.25" customHeight="1" x14ac:dyDescent="0.4">
      <c r="A120" s="121" t="s">
        <v>86</v>
      </c>
      <c r="B120" s="217">
        <v>1</v>
      </c>
      <c r="C120" s="179">
        <v>4</v>
      </c>
      <c r="D120" s="246"/>
      <c r="E120" s="249" t="str">
        <f t="shared" si="3"/>
        <v>-</v>
      </c>
      <c r="F120" s="250" t="str">
        <f t="shared" si="4"/>
        <v>-</v>
      </c>
      <c r="G120" s="98"/>
    </row>
    <row r="121" spans="1:7" ht="26.25" customHeight="1" x14ac:dyDescent="0.4">
      <c r="A121" s="121" t="s">
        <v>87</v>
      </c>
      <c r="B121" s="217">
        <v>1</v>
      </c>
      <c r="C121" s="179">
        <v>5</v>
      </c>
      <c r="D121" s="246"/>
      <c r="E121" s="249" t="str">
        <f t="shared" si="3"/>
        <v>-</v>
      </c>
      <c r="F121" s="250" t="str">
        <f t="shared" si="4"/>
        <v>-</v>
      </c>
      <c r="G121" s="98"/>
    </row>
    <row r="122" spans="1:7" ht="26.25" customHeight="1" x14ac:dyDescent="0.4">
      <c r="A122" s="121" t="s">
        <v>88</v>
      </c>
      <c r="B122" s="217">
        <v>1</v>
      </c>
      <c r="C122" s="251">
        <v>6</v>
      </c>
      <c r="D122" s="252"/>
      <c r="E122" s="253" t="str">
        <f t="shared" si="3"/>
        <v>-</v>
      </c>
      <c r="F122" s="254" t="str">
        <f t="shared" si="4"/>
        <v>-</v>
      </c>
      <c r="G122" s="98"/>
    </row>
    <row r="123" spans="1:7" ht="26.25" customHeight="1" x14ac:dyDescent="0.4">
      <c r="A123" s="121" t="s">
        <v>89</v>
      </c>
      <c r="B123" s="217">
        <v>1</v>
      </c>
      <c r="C123" s="179"/>
      <c r="D123" s="255"/>
      <c r="E123" s="199"/>
      <c r="F123" s="182"/>
      <c r="G123" s="98"/>
    </row>
    <row r="124" spans="1:7" ht="26.25" customHeight="1" x14ac:dyDescent="0.4">
      <c r="A124" s="121" t="s">
        <v>90</v>
      </c>
      <c r="B124" s="217">
        <v>1</v>
      </c>
      <c r="C124" s="179"/>
      <c r="D124" s="256"/>
      <c r="E124" s="257" t="s">
        <v>69</v>
      </c>
      <c r="F124" s="258" t="e">
        <f>AVERAGE(F117:F122)</f>
        <v>#DIV/0!</v>
      </c>
      <c r="G124" s="98"/>
    </row>
    <row r="125" spans="1:7" ht="27" customHeight="1" x14ac:dyDescent="0.4">
      <c r="A125" s="121" t="s">
        <v>91</v>
      </c>
      <c r="B125" s="259">
        <f>(B124/B123)*(B122/B121)*(B120/B119)*(B118/B117)*B116</f>
        <v>1</v>
      </c>
      <c r="C125" s="260"/>
      <c r="D125" s="261"/>
      <c r="E125" s="157" t="s">
        <v>79</v>
      </c>
      <c r="F125" s="194" t="e">
        <f>STDEV(F117:F122)/F124</f>
        <v>#DIV/0!</v>
      </c>
      <c r="G125" s="98"/>
    </row>
    <row r="126" spans="1:7" ht="27" customHeight="1" x14ac:dyDescent="0.4">
      <c r="A126" s="314" t="s">
        <v>74</v>
      </c>
      <c r="B126" s="315"/>
      <c r="C126" s="262"/>
      <c r="D126" s="263"/>
      <c r="E126" s="264" t="s">
        <v>20</v>
      </c>
      <c r="F126" s="265">
        <f>COUNT(F117:F122)</f>
        <v>0</v>
      </c>
      <c r="G126" s="98"/>
    </row>
    <row r="127" spans="1:7" ht="19.5" customHeight="1" x14ac:dyDescent="0.3">
      <c r="A127" s="316"/>
      <c r="B127" s="317"/>
      <c r="C127" s="199"/>
      <c r="D127" s="199"/>
      <c r="E127" s="199"/>
      <c r="F127" s="255"/>
      <c r="G127" s="199"/>
    </row>
    <row r="128" spans="1:7" ht="18.75" customHeight="1" x14ac:dyDescent="0.3">
      <c r="A128" s="117"/>
      <c r="B128" s="117"/>
      <c r="C128" s="199"/>
      <c r="D128" s="199"/>
      <c r="E128" s="199"/>
      <c r="F128" s="255"/>
      <c r="G128" s="199"/>
    </row>
    <row r="129" spans="1:7" ht="18.75" customHeight="1" x14ac:dyDescent="0.3">
      <c r="A129" s="108" t="s">
        <v>114</v>
      </c>
      <c r="B129" s="201" t="s">
        <v>102</v>
      </c>
      <c r="C129" s="305" t="str">
        <f>B20</f>
        <v>Levonorgestrel 0.15mg,Ethinylestradiol 0.03mg.</v>
      </c>
      <c r="D129" s="305"/>
      <c r="E129" s="202" t="s">
        <v>103</v>
      </c>
      <c r="F129" s="202"/>
      <c r="G129" s="205" t="e">
        <f>F124</f>
        <v>#DIV/0!</v>
      </c>
    </row>
    <row r="130" spans="1:7" ht="19.5" customHeight="1" x14ac:dyDescent="0.3">
      <c r="A130" s="266"/>
      <c r="B130" s="266"/>
      <c r="C130" s="267"/>
      <c r="D130" s="267"/>
      <c r="E130" s="267"/>
      <c r="F130" s="267"/>
      <c r="G130" s="267"/>
    </row>
    <row r="131" spans="1:7" ht="18.75" customHeight="1" x14ac:dyDescent="0.3">
      <c r="A131" s="98"/>
      <c r="B131" s="306" t="s">
        <v>26</v>
      </c>
      <c r="C131" s="306"/>
      <c r="D131" s="98"/>
      <c r="E131" s="268" t="s">
        <v>27</v>
      </c>
      <c r="F131" s="269"/>
      <c r="G131" s="276" t="s">
        <v>28</v>
      </c>
    </row>
    <row r="132" spans="1:7" ht="60" customHeight="1" x14ac:dyDescent="0.3">
      <c r="A132" s="270" t="s">
        <v>29</v>
      </c>
      <c r="B132" s="271"/>
      <c r="C132" s="271"/>
      <c r="D132" s="98"/>
      <c r="E132" s="271"/>
      <c r="F132" s="199"/>
      <c r="G132" s="272"/>
    </row>
    <row r="133" spans="1:7" ht="60" customHeight="1" x14ac:dyDescent="0.3">
      <c r="A133" s="270" t="s">
        <v>30</v>
      </c>
      <c r="B133" s="273"/>
      <c r="C133" s="273"/>
      <c r="D133" s="98"/>
      <c r="E133" s="273"/>
      <c r="F133" s="199"/>
      <c r="G133" s="274"/>
    </row>
    <row r="250" spans="1:1" x14ac:dyDescent="0.2">
      <c r="A250">
        <v>5</v>
      </c>
    </row>
  </sheetData>
  <sheetProtection password="F258" sheet="1" objects="1" scenarios="1" formatColumns="0" formatRows="0" insertColumns="0" insertHyperlinks="0" deleteColumns="0" deleteRows="0" autoFilter="0" pivotTables="0"/>
  <mergeCells count="26"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  <mergeCell ref="C31:G31"/>
    <mergeCell ref="C32:G32"/>
    <mergeCell ref="D36:E36"/>
    <mergeCell ref="F36:G36"/>
    <mergeCell ref="A46:B47"/>
    <mergeCell ref="A16:G16"/>
    <mergeCell ref="B18:C18"/>
    <mergeCell ref="B20:C20"/>
    <mergeCell ref="B26:C26"/>
    <mergeCell ref="B27:C27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paperSize="9" scale="24" orientation="portrait" r:id="rId1"/>
  <headerFooter>
    <oddHeader>&amp;LVer 2&amp;CPage &amp;P of &amp;N&amp;R&amp;D &amp;T</oddHeader>
    <oddFooter>&amp;LNQCL/ADDO/014</oddFooter>
  </headerFooter>
  <rowBreaks count="1" manualBreakCount="1">
    <brk id="14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</vt:lpstr>
      <vt:lpstr>SST Ethinyl </vt:lpstr>
      <vt:lpstr>Uniformity</vt:lpstr>
      <vt:lpstr>Levonorgestrel </vt:lpstr>
      <vt:lpstr>Ethinyl etradiol 1</vt:lpstr>
      <vt:lpstr>'Ethinyl etradiol 1'!Print_Area</vt:lpstr>
      <vt:lpstr>'Levonorgestrel '!Print_Area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2016-04-26T06:50:31Z</cp:lastPrinted>
  <dcterms:created xsi:type="dcterms:W3CDTF">2005-07-05T10:19:27Z</dcterms:created>
  <dcterms:modified xsi:type="dcterms:W3CDTF">2016-05-10T09:14:09Z</dcterms:modified>
  <cp:category/>
</cp:coreProperties>
</file>