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5015" windowHeight="7620"/>
  </bookViews>
  <sheets>
    <sheet name="SST Ketotifen Fumarate" sheetId="1" r:id="rId1"/>
    <sheet name="Ketotifen Fumarate" sheetId="2" r:id="rId2"/>
    <sheet name="SST Benzalkonium Cl A" sheetId="4" r:id="rId3"/>
    <sheet name="SST Benzalkonium Cl B" sheetId="5" r:id="rId4"/>
    <sheet name="Benzalkonium Cl" sheetId="3" r:id="rId5"/>
  </sheets>
  <definedNames>
    <definedName name="_xlnm.Print_Area" localSheetId="4">'Benzalkonium Cl'!$A$1:$H$80</definedName>
    <definedName name="_xlnm.Print_Area" localSheetId="2">'SST Benzalkonium Cl A'!$A$15:$G$61</definedName>
    <definedName name="_xlnm.Print_Area" localSheetId="3">'SST Benzalkonium Cl B'!$A$15:$G$61</definedName>
    <definedName name="_xlnm.Print_Area" localSheetId="0">'SST Ketotifen Fumarate'!$A$15:$G$62</definedName>
  </definedNames>
  <calcPr calcId="145621"/>
</workbook>
</file>

<file path=xl/calcChain.xml><?xml version="1.0" encoding="utf-8"?>
<calcChain xmlns="http://schemas.openxmlformats.org/spreadsheetml/2006/main">
  <c r="E5" i="1" l="1"/>
  <c r="B20" i="5"/>
  <c r="B21" i="5" s="1"/>
  <c r="B21" i="4"/>
  <c r="B20" i="4"/>
  <c r="B21" i="1"/>
  <c r="B20" i="1"/>
  <c r="F10" i="4"/>
  <c r="F11" i="4" s="1"/>
  <c r="E5" i="4"/>
  <c r="E30" i="5"/>
  <c r="E30" i="4"/>
  <c r="D30" i="1" l="1"/>
  <c r="E30" i="1"/>
  <c r="B53" i="5" l="1"/>
  <c r="E51" i="5"/>
  <c r="D51" i="5"/>
  <c r="C51" i="5"/>
  <c r="B51" i="5"/>
  <c r="B52" i="5" s="1"/>
  <c r="B32" i="5"/>
  <c r="D30" i="5"/>
  <c r="C30" i="5"/>
  <c r="B30" i="5"/>
  <c r="B31" i="5" s="1"/>
  <c r="F64" i="3" l="1"/>
  <c r="F63" i="3"/>
  <c r="F65" i="3"/>
  <c r="F67" i="3"/>
  <c r="F68" i="3"/>
  <c r="F69" i="3"/>
  <c r="F61" i="3"/>
  <c r="F60" i="3"/>
  <c r="F59" i="3"/>
  <c r="F40" i="3"/>
  <c r="F39" i="3"/>
  <c r="F38" i="3"/>
  <c r="D40" i="3"/>
  <c r="D39" i="3"/>
  <c r="D38" i="3"/>
  <c r="B53" i="4" l="1"/>
  <c r="E51" i="4"/>
  <c r="D51" i="4"/>
  <c r="C51" i="4"/>
  <c r="B51" i="4"/>
  <c r="B52" i="4" s="1"/>
  <c r="B32" i="4"/>
  <c r="D30" i="4"/>
  <c r="C30" i="4"/>
  <c r="B30" i="4"/>
  <c r="B31" i="4" s="1"/>
  <c r="C75" i="3"/>
  <c r="H70" i="3"/>
  <c r="G70" i="3"/>
  <c r="B67" i="3"/>
  <c r="B68" i="3" s="1"/>
  <c r="H66" i="3"/>
  <c r="G66" i="3"/>
  <c r="H62" i="3"/>
  <c r="G62" i="3"/>
  <c r="E56" i="3"/>
  <c r="B55" i="3"/>
  <c r="B45" i="3"/>
  <c r="D48" i="3" s="1"/>
  <c r="F42" i="3"/>
  <c r="D42" i="3"/>
  <c r="E41" i="3"/>
  <c r="B34" i="3"/>
  <c r="F44" i="3" s="1"/>
  <c r="B30" i="3"/>
  <c r="F45" i="3" l="1"/>
  <c r="G41" i="3" s="1"/>
  <c r="F46" i="3"/>
  <c r="D44" i="3"/>
  <c r="D45" i="3" s="1"/>
  <c r="D46" i="3" s="1"/>
  <c r="D49" i="3"/>
  <c r="G39" i="3"/>
  <c r="G40" i="3"/>
  <c r="G38" i="3"/>
  <c r="C75" i="2"/>
  <c r="H70" i="2"/>
  <c r="G70" i="2"/>
  <c r="B67" i="2"/>
  <c r="B68" i="2" s="1"/>
  <c r="H66" i="2"/>
  <c r="G66" i="2"/>
  <c r="H62" i="2"/>
  <c r="G62" i="2"/>
  <c r="E56" i="2"/>
  <c r="B55" i="2"/>
  <c r="B45" i="2"/>
  <c r="D48" i="2" s="1"/>
  <c r="F42" i="2"/>
  <c r="D42" i="2"/>
  <c r="G41" i="2"/>
  <c r="E41" i="2"/>
  <c r="B34" i="2"/>
  <c r="F44" i="2" s="1"/>
  <c r="B30" i="2"/>
  <c r="B53" i="1"/>
  <c r="E51" i="1"/>
  <c r="D51" i="1"/>
  <c r="C51" i="1"/>
  <c r="B51" i="1"/>
  <c r="B52" i="1" s="1"/>
  <c r="B32" i="1"/>
  <c r="C30" i="1"/>
  <c r="B30" i="1"/>
  <c r="B31" i="1" s="1"/>
  <c r="E39" i="3" l="1"/>
  <c r="E40" i="3"/>
  <c r="G42" i="3"/>
  <c r="E38" i="3"/>
  <c r="D49" i="2"/>
  <c r="F45" i="2"/>
  <c r="G40" i="2" s="1"/>
  <c r="D44" i="2"/>
  <c r="D45" i="2" s="1"/>
  <c r="D50" i="3" l="1"/>
  <c r="G69" i="3" s="1"/>
  <c r="H69" i="3" s="1"/>
  <c r="D52" i="3"/>
  <c r="E42" i="3"/>
  <c r="G59" i="3"/>
  <c r="H59" i="3" s="1"/>
  <c r="F46" i="2"/>
  <c r="G38" i="2"/>
  <c r="G39" i="2"/>
  <c r="D46" i="2"/>
  <c r="E40" i="2"/>
  <c r="E38" i="2"/>
  <c r="E39" i="2"/>
  <c r="D51" i="3" l="1"/>
  <c r="G67" i="3"/>
  <c r="H67" i="3" s="1"/>
  <c r="G65" i="3"/>
  <c r="H65" i="3" s="1"/>
  <c r="G60" i="3"/>
  <c r="H60" i="3" s="1"/>
  <c r="G68" i="3"/>
  <c r="H68" i="3" s="1"/>
  <c r="G64" i="3"/>
  <c r="H64" i="3" s="1"/>
  <c r="G63" i="3"/>
  <c r="H63" i="3" s="1"/>
  <c r="G61" i="3"/>
  <c r="H61" i="3" s="1"/>
  <c r="G42" i="2"/>
  <c r="D50" i="2"/>
  <c r="D52" i="2"/>
  <c r="E42" i="2"/>
  <c r="D51" i="2" l="1"/>
  <c r="G59" i="2"/>
  <c r="H59" i="2" s="1"/>
  <c r="G69" i="2"/>
  <c r="H69" i="2" s="1"/>
  <c r="G68" i="2"/>
  <c r="H68" i="2" s="1"/>
  <c r="G64" i="2"/>
  <c r="H64" i="2" s="1"/>
  <c r="G61" i="2"/>
  <c r="H61" i="2" s="1"/>
  <c r="G63" i="2"/>
  <c r="H63" i="2" s="1"/>
  <c r="G60" i="2"/>
  <c r="H60" i="2" s="1"/>
  <c r="G65" i="2"/>
  <c r="H65" i="2" s="1"/>
  <c r="G67" i="2"/>
  <c r="H67" i="2" s="1"/>
  <c r="H71" i="3"/>
  <c r="G75" i="3" s="1"/>
  <c r="H73" i="3"/>
  <c r="H73" i="2" l="1"/>
  <c r="H71" i="2"/>
  <c r="H72" i="3"/>
  <c r="H72" i="2" l="1"/>
  <c r="G75" i="2"/>
</calcChain>
</file>

<file path=xl/sharedStrings.xml><?xml version="1.0" encoding="utf-8"?>
<sst xmlns="http://schemas.openxmlformats.org/spreadsheetml/2006/main" count="333" uniqueCount="110">
  <si>
    <t>HPLC System Suitability Report</t>
  </si>
  <si>
    <t>Analysis Data</t>
  </si>
  <si>
    <t>Assay</t>
  </si>
  <si>
    <t>Sample(s)</t>
  </si>
  <si>
    <t>Reference Substance:</t>
  </si>
  <si>
    <t>TOFEN EYE DROPS</t>
  </si>
  <si>
    <t>% age Purity:</t>
  </si>
  <si>
    <t>NDQD201510441</t>
  </si>
  <si>
    <t>Weight (mg):</t>
  </si>
  <si>
    <t xml:space="preserve">Ketotifen Fumarate  </t>
  </si>
  <si>
    <t>Standard Conc (mg/mL):</t>
  </si>
  <si>
    <t>Ketotifen Fumarate B.P to 0.25 mg Ketofen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</si>
  <si>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</si>
  <si>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</si>
  <si>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</si>
  <si>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</si>
  <si>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</si>
  <si>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</si>
  <si>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</si>
  <si>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</si>
  <si>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</si>
  <si>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</si>
  <si>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</si>
  <si>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</si>
  <si>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</si>
  <si>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</si>
  <si>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</si>
  <si>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</si>
  <si>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</si>
  <si>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</si>
  <si>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</si>
  <si>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</si>
  <si>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</si>
  <si>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</si>
  <si>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</si>
  <si>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</si>
  <si>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</si>
  <si>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</si>
  <si>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</si>
  <si>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</si>
  <si>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</si>
  <si>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</si>
  <si>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</si>
  <si>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</si>
  <si>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</si>
  <si>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</si>
  <si>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</si>
  <si>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</si>
  <si>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</si>
  <si>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</si>
  <si>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</si>
  <si>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</si>
  <si>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</si>
  <si>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</si>
  <si>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</si>
  <si>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</si>
  <si>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</si>
  <si>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</si>
  <si>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</si>
  <si>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</si>
  <si>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</si>
  <si>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</si>
  <si>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</si>
  <si>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</si>
  <si>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</si>
  <si>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</si>
  <si>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</si>
  <si>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</si>
  <si>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</si>
  <si>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</si>
  <si>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</si>
  <si>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</si>
  <si>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</si>
  <si>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</si>
  <si>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</si>
  <si>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</si>
  <si>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</si>
  <si>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</si>
  <si>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</si>
  <si>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</si>
  <si>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</si>
  <si>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</si>
  <si>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</si>
  <si>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</si>
  <si>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</si>
  <si>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</si>
  <si>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</si>
  <si>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</si>
  <si>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</si>
  <si>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</si>
  <si>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</si>
  <si>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</si>
  <si>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</si>
  <si>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</si>
  <si>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</si>
  <si>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</si>
  <si>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</si>
  <si>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</si>
  <si>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</si>
  <si>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</si>
  <si>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Ketotifen Fumarate</t>
  </si>
  <si>
    <t>Rutto</t>
  </si>
  <si>
    <t>Benzalkonium Chloride</t>
  </si>
  <si>
    <t>K1-5</t>
  </si>
  <si>
    <t>B1-2</t>
  </si>
  <si>
    <t>Benzalkonium Chloride BP 0.01%</t>
  </si>
  <si>
    <t>21/03/2016</t>
  </si>
  <si>
    <t>30/03/2016</t>
  </si>
  <si>
    <t>Rutto/Mutua</t>
  </si>
  <si>
    <r>
      <t>The Assymetry of all peaks were below</t>
    </r>
    <r>
      <rPr>
        <b/>
        <sz val="12"/>
        <color rgb="FF000000"/>
        <rFont val="Book Antiqua"/>
        <family val="1"/>
      </rPr>
      <t xml:space="preserve"> 3.0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</si>
</sst>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\ &quot;mL&quot;"/>
    <numFmt numFmtId="172" formatCode="0.0\ &quot;mg&quot;"/>
    <numFmt numFmtId="174" formatCode="0.000\ &quot;mg&quot;"/>
  </numFmts>
  <fonts count="19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/>
  </cellStyleXfs>
  <cellXfs count="20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10" fillId="3" borderId="0" xfId="0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 applyProtection="1">
      <alignment horizontal="left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0" fontId="9" fillId="2" borderId="0" xfId="0" applyFont="1" applyFill="1" applyAlignment="1" applyProtection="1">
      <alignment horizontal="center"/>
      <protection locked="0"/>
    </xf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0" fillId="3" borderId="20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2" xfId="0" applyNumberFormat="1" applyFont="1" applyFill="1" applyBorder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center"/>
    </xf>
    <xf numFmtId="0" fontId="10" fillId="3" borderId="24" xfId="0" applyFont="1" applyFill="1" applyBorder="1" applyAlignment="1" applyProtection="1">
      <alignment horizontal="center"/>
      <protection locked="0"/>
    </xf>
    <xf numFmtId="169" fontId="8" fillId="2" borderId="25" xfId="0" applyNumberFormat="1" applyFont="1" applyFill="1" applyBorder="1" applyAlignment="1">
      <alignment horizontal="center"/>
    </xf>
    <xf numFmtId="0" fontId="10" fillId="3" borderId="7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right"/>
    </xf>
    <xf numFmtId="1" fontId="9" fillId="6" borderId="26" xfId="0" applyNumberFormat="1" applyFont="1" applyFill="1" applyBorder="1" applyAlignment="1">
      <alignment horizontal="center"/>
    </xf>
    <xf numFmtId="169" fontId="9" fillId="6" borderId="27" xfId="0" applyNumberFormat="1" applyFont="1" applyFill="1" applyBorder="1" applyAlignment="1">
      <alignment horizontal="center"/>
    </xf>
    <xf numFmtId="1" fontId="9" fillId="6" borderId="28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right"/>
    </xf>
    <xf numFmtId="0" fontId="10" fillId="3" borderId="30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31" xfId="0" applyFont="1" applyFill="1" applyBorder="1" applyAlignment="1">
      <alignment horizontal="right"/>
    </xf>
    <xf numFmtId="2" fontId="8" fillId="6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0" fontId="10" fillId="3" borderId="32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2" fontId="8" fillId="6" borderId="35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0" fontId="8" fillId="2" borderId="24" xfId="0" applyFont="1" applyFill="1" applyBorder="1" applyAlignment="1">
      <alignment horizontal="right"/>
    </xf>
    <xf numFmtId="169" fontId="9" fillId="7" borderId="30" xfId="0" applyNumberFormat="1" applyFont="1" applyFill="1" applyBorder="1" applyAlignment="1">
      <alignment horizontal="center"/>
    </xf>
    <xf numFmtId="10" fontId="8" fillId="6" borderId="32" xfId="0" applyNumberFormat="1" applyFont="1" applyFill="1" applyBorder="1" applyAlignment="1">
      <alignment horizontal="center"/>
    </xf>
    <xf numFmtId="0" fontId="8" fillId="7" borderId="3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0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2" fontId="8" fillId="2" borderId="39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right"/>
    </xf>
    <xf numFmtId="0" fontId="11" fillId="2" borderId="4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1" xfId="0" applyFont="1" applyFill="1" applyBorder="1" applyAlignment="1">
      <alignment horizontal="right"/>
    </xf>
    <xf numFmtId="10" fontId="11" fillId="7" borderId="23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3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0" fontId="10" fillId="2" borderId="0" xfId="0" applyFont="1" applyFill="1" applyAlignment="1" applyProtection="1">
      <alignment horizontal="right"/>
      <protection locked="0"/>
    </xf>
    <xf numFmtId="14" fontId="6" fillId="2" borderId="0" xfId="0" applyNumberFormat="1" applyFont="1" applyFill="1"/>
    <xf numFmtId="0" fontId="1" fillId="2" borderId="10" xfId="0" applyFont="1" applyFill="1" applyBorder="1" applyAlignment="1">
      <alignment horizontal="center"/>
    </xf>
    <xf numFmtId="0" fontId="10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72" fontId="11" fillId="3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14" fillId="2" borderId="4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12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39" xfId="0" applyNumberFormat="1" applyFont="1" applyFill="1" applyBorder="1" applyAlignment="1" applyProtection="1">
      <alignment horizontal="center" vertical="center"/>
      <protection locked="0"/>
    </xf>
    <xf numFmtId="2" fontId="10" fillId="3" borderId="36" xfId="0" applyNumberFormat="1" applyFont="1" applyFill="1" applyBorder="1" applyAlignment="1" applyProtection="1">
      <alignment horizontal="center" vertical="center"/>
      <protection locked="0"/>
    </xf>
    <xf numFmtId="2" fontId="10" fillId="3" borderId="37" xfId="0" applyNumberFormat="1" applyFont="1" applyFill="1" applyBorder="1" applyAlignment="1" applyProtection="1">
      <alignment horizontal="center" vertical="center"/>
      <protection locked="0"/>
    </xf>
    <xf numFmtId="2" fontId="10" fillId="3" borderId="38" xfId="0" applyNumberFormat="1" applyFont="1" applyFill="1" applyBorder="1" applyAlignment="1" applyProtection="1">
      <alignment horizontal="center" vertical="center"/>
      <protection locked="0"/>
    </xf>
    <xf numFmtId="0" fontId="9" fillId="2" borderId="39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4" fillId="2" borderId="46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4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2" borderId="48" xfId="0" applyFont="1" applyFill="1" applyBorder="1" applyAlignment="1">
      <alignment horizontal="center"/>
    </xf>
    <xf numFmtId="2" fontId="7" fillId="3" borderId="49" xfId="0" applyNumberFormat="1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>
      <alignment horizontal="center"/>
    </xf>
    <xf numFmtId="2" fontId="5" fillId="4" borderId="5" xfId="0" applyNumberFormat="1" applyFont="1" applyFill="1" applyBorder="1" applyAlignment="1">
      <alignment horizontal="center"/>
    </xf>
    <xf numFmtId="2" fontId="7" fillId="3" borderId="50" xfId="0" applyNumberFormat="1" applyFont="1" applyFill="1" applyBorder="1" applyAlignment="1" applyProtection="1">
      <alignment horizontal="center"/>
      <protection locked="0"/>
    </xf>
    <xf numFmtId="2" fontId="7" fillId="3" borderId="51" xfId="0" applyNumberFormat="1" applyFont="1" applyFill="1" applyBorder="1" applyAlignment="1" applyProtection="1">
      <alignment horizontal="center"/>
      <protection locked="0"/>
    </xf>
    <xf numFmtId="2" fontId="7" fillId="3" borderId="52" xfId="0" applyNumberFormat="1" applyFont="1" applyFill="1" applyBorder="1" applyAlignment="1" applyProtection="1">
      <alignment horizontal="center"/>
      <protection locked="0"/>
    </xf>
    <xf numFmtId="0" fontId="0" fillId="0" borderId="0" xfId="0"/>
    <xf numFmtId="10" fontId="0" fillId="0" borderId="0" xfId="1" applyNumberFormat="1" applyFont="1"/>
    <xf numFmtId="174" fontId="11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4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1"/>
  <sheetViews>
    <sheetView tabSelected="1" workbookViewId="0">
      <selection activeCell="E4" sqref="E4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2" spans="1:6" x14ac:dyDescent="0.25">
      <c r="D2" s="4">
        <v>45105871.333333336</v>
      </c>
      <c r="E2" s="4">
        <v>43013382</v>
      </c>
    </row>
    <row r="3" spans="1:6" x14ac:dyDescent="0.25">
      <c r="D3" s="4">
        <v>18.16</v>
      </c>
      <c r="E3" s="4">
        <v>17.21</v>
      </c>
    </row>
    <row r="4" spans="1:6" x14ac:dyDescent="0.25">
      <c r="E4" s="207"/>
    </row>
    <row r="5" spans="1:6" x14ac:dyDescent="0.25">
      <c r="E5" s="207">
        <f>(D2*D3)/(E2*E3)</f>
        <v>1.1065332272225907</v>
      </c>
    </row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167" t="s">
        <v>0</v>
      </c>
      <c r="B15" s="167"/>
      <c r="C15" s="167"/>
      <c r="D15" s="167"/>
      <c r="E15" s="167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100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99.18</v>
      </c>
      <c r="C19" s="10"/>
      <c r="D19" s="10"/>
      <c r="E19" s="10"/>
    </row>
    <row r="20" spans="1:6" ht="16.5" customHeight="1" x14ac:dyDescent="0.3">
      <c r="A20" s="7" t="s">
        <v>8</v>
      </c>
      <c r="B20" s="12">
        <f>'Ketotifen Fumarate'!D43</f>
        <v>18.16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B20/'Ketotifen Fumarate'!B45</f>
        <v>2.9055999999999998E-2</v>
      </c>
      <c r="C21" s="10"/>
      <c r="D21" s="10"/>
      <c r="E21" s="10"/>
    </row>
    <row r="22" spans="1:6" ht="15.75" customHeight="1" x14ac:dyDescent="0.25">
      <c r="A22" s="10"/>
      <c r="B22" s="161">
        <v>42459</v>
      </c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45041573</v>
      </c>
      <c r="C24" s="18">
        <v>7113</v>
      </c>
      <c r="D24" s="19">
        <v>1.3</v>
      </c>
      <c r="E24" s="20">
        <v>4.8</v>
      </c>
    </row>
    <row r="25" spans="1:6" ht="16.5" customHeight="1" x14ac:dyDescent="0.3">
      <c r="A25" s="17">
        <v>2</v>
      </c>
      <c r="B25" s="18">
        <v>45067877</v>
      </c>
      <c r="C25" s="18">
        <v>7117</v>
      </c>
      <c r="D25" s="19">
        <v>1.3</v>
      </c>
      <c r="E25" s="19">
        <v>4.8</v>
      </c>
    </row>
    <row r="26" spans="1:6" ht="16.5" customHeight="1" x14ac:dyDescent="0.3">
      <c r="A26" s="17">
        <v>3</v>
      </c>
      <c r="B26" s="18">
        <v>45028844</v>
      </c>
      <c r="C26" s="18">
        <v>7142</v>
      </c>
      <c r="D26" s="19">
        <v>1.3</v>
      </c>
      <c r="E26" s="19">
        <v>4.8</v>
      </c>
    </row>
    <row r="27" spans="1:6" ht="16.5" customHeight="1" x14ac:dyDescent="0.3">
      <c r="A27" s="17">
        <v>4</v>
      </c>
      <c r="B27" s="18">
        <v>45023517</v>
      </c>
      <c r="C27" s="18">
        <v>7125</v>
      </c>
      <c r="D27" s="19">
        <v>1.3</v>
      </c>
      <c r="E27" s="19">
        <v>4.8</v>
      </c>
    </row>
    <row r="28" spans="1:6" ht="16.5" customHeight="1" x14ac:dyDescent="0.3">
      <c r="A28" s="17">
        <v>5</v>
      </c>
      <c r="B28" s="18">
        <v>45035382</v>
      </c>
      <c r="C28" s="18">
        <v>7134.1</v>
      </c>
      <c r="D28" s="19">
        <v>1.3</v>
      </c>
      <c r="E28" s="19">
        <v>4.8</v>
      </c>
    </row>
    <row r="29" spans="1:6" ht="16.5" customHeight="1" x14ac:dyDescent="0.3">
      <c r="A29" s="17">
        <v>6</v>
      </c>
      <c r="B29" s="21">
        <v>45031447</v>
      </c>
      <c r="C29" s="21">
        <v>7155.3</v>
      </c>
      <c r="D29" s="22">
        <v>1.2</v>
      </c>
      <c r="E29" s="22">
        <v>4.8</v>
      </c>
    </row>
    <row r="30" spans="1:6" ht="16.5" customHeight="1" x14ac:dyDescent="0.3">
      <c r="A30" s="23" t="s">
        <v>17</v>
      </c>
      <c r="B30" s="24">
        <f>AVERAGE(B24:B29)</f>
        <v>45038106.666666664</v>
      </c>
      <c r="C30" s="25">
        <f>AVERAGE(C24:C29)</f>
        <v>7131.0666666666666</v>
      </c>
      <c r="D30" s="26">
        <f>AVERAGE(D24:D29)</f>
        <v>1.2833333333333334</v>
      </c>
      <c r="E30" s="26">
        <f>AVERAGE(E24:E29)</f>
        <v>4.8</v>
      </c>
    </row>
    <row r="31" spans="1:6" ht="16.5" customHeight="1" x14ac:dyDescent="0.3">
      <c r="A31" s="27" t="s">
        <v>18</v>
      </c>
      <c r="B31" s="28">
        <f>(STDEV(B24:B29)/B30)</f>
        <v>3.508868997086566E-4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19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20</v>
      </c>
      <c r="B55" s="37" t="s">
        <v>21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168" t="s">
        <v>25</v>
      </c>
      <c r="C59" s="168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 t="s">
        <v>108</v>
      </c>
      <c r="C60" s="48"/>
      <c r="E60" s="48" t="s">
        <v>107</v>
      </c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topLeftCell="A37" zoomScale="60" zoomScaleNormal="55" workbookViewId="0">
      <selection activeCell="F42" sqref="F42:F43"/>
    </sheetView>
  </sheetViews>
  <sheetFormatPr defaultRowHeight="12.75" x14ac:dyDescent="0.2"/>
  <cols>
    <col min="1" max="1" width="58.5703125" customWidth="1"/>
    <col min="2" max="2" width="34.28515625" customWidth="1"/>
    <col min="3" max="3" width="43.140625" customWidth="1"/>
    <col min="4" max="4" width="23.140625" customWidth="1"/>
    <col min="5" max="5" width="34.85546875" customWidth="1"/>
    <col min="6" max="6" width="21.5703125" customWidth="1"/>
    <col min="7" max="7" width="36.85546875" customWidth="1"/>
    <col min="8" max="8" width="23.85546875" customWidth="1"/>
  </cols>
  <sheetData>
    <row r="1" spans="1:8" x14ac:dyDescent="0.2">
      <c r="A1" s="185" t="s">
        <v>30</v>
      </c>
      <c r="B1" s="185"/>
      <c r="C1" s="185"/>
      <c r="D1" s="185"/>
      <c r="E1" s="185"/>
      <c r="F1" s="185"/>
      <c r="G1" s="185"/>
      <c r="H1" s="185"/>
    </row>
    <row r="2" spans="1:8" x14ac:dyDescent="0.2">
      <c r="A2" s="185"/>
      <c r="B2" s="185"/>
      <c r="C2" s="185"/>
      <c r="D2" s="185"/>
      <c r="E2" s="185"/>
      <c r="F2" s="185"/>
      <c r="G2" s="185"/>
      <c r="H2" s="185"/>
    </row>
    <row r="3" spans="1:8" x14ac:dyDescent="0.2">
      <c r="A3" s="185"/>
      <c r="B3" s="185"/>
      <c r="C3" s="185"/>
      <c r="D3" s="185"/>
      <c r="E3" s="185"/>
      <c r="F3" s="185"/>
      <c r="G3" s="185"/>
      <c r="H3" s="185"/>
    </row>
    <row r="4" spans="1:8" x14ac:dyDescent="0.2">
      <c r="A4" s="185"/>
      <c r="B4" s="185"/>
      <c r="C4" s="185"/>
      <c r="D4" s="185"/>
      <c r="E4" s="185"/>
      <c r="F4" s="185"/>
      <c r="G4" s="185"/>
      <c r="H4" s="185"/>
    </row>
    <row r="5" spans="1:8" x14ac:dyDescent="0.2">
      <c r="A5" s="185"/>
      <c r="B5" s="185"/>
      <c r="C5" s="185"/>
      <c r="D5" s="185"/>
      <c r="E5" s="185"/>
      <c r="F5" s="185"/>
      <c r="G5" s="185"/>
      <c r="H5" s="185"/>
    </row>
    <row r="6" spans="1:8" x14ac:dyDescent="0.2">
      <c r="A6" s="185"/>
      <c r="B6" s="185"/>
      <c r="C6" s="185"/>
      <c r="D6" s="185"/>
      <c r="E6" s="185"/>
      <c r="F6" s="185"/>
      <c r="G6" s="185"/>
      <c r="H6" s="185"/>
    </row>
    <row r="7" spans="1:8" x14ac:dyDescent="0.2">
      <c r="A7" s="185"/>
      <c r="B7" s="185"/>
      <c r="C7" s="185"/>
      <c r="D7" s="185"/>
      <c r="E7" s="185"/>
      <c r="F7" s="185"/>
      <c r="G7" s="185"/>
      <c r="H7" s="185"/>
    </row>
    <row r="8" spans="1:8" x14ac:dyDescent="0.2">
      <c r="A8" s="186" t="s">
        <v>31</v>
      </c>
      <c r="B8" s="186"/>
      <c r="C8" s="186"/>
      <c r="D8" s="186"/>
      <c r="E8" s="186"/>
      <c r="F8" s="186"/>
      <c r="G8" s="186"/>
      <c r="H8" s="186"/>
    </row>
    <row r="9" spans="1:8" x14ac:dyDescent="0.2">
      <c r="A9" s="186"/>
      <c r="B9" s="186"/>
      <c r="C9" s="186"/>
      <c r="D9" s="186"/>
      <c r="E9" s="186"/>
      <c r="F9" s="186"/>
      <c r="G9" s="186"/>
      <c r="H9" s="186"/>
    </row>
    <row r="10" spans="1:8" x14ac:dyDescent="0.2">
      <c r="A10" s="186"/>
      <c r="B10" s="186"/>
      <c r="C10" s="186"/>
      <c r="D10" s="186"/>
      <c r="E10" s="186"/>
      <c r="F10" s="186"/>
      <c r="G10" s="186"/>
      <c r="H10" s="186"/>
    </row>
    <row r="11" spans="1:8" x14ac:dyDescent="0.2">
      <c r="A11" s="186"/>
      <c r="B11" s="186"/>
      <c r="C11" s="186"/>
      <c r="D11" s="186"/>
      <c r="E11" s="186"/>
      <c r="F11" s="186"/>
      <c r="G11" s="186"/>
      <c r="H11" s="186"/>
    </row>
    <row r="12" spans="1:8" x14ac:dyDescent="0.2">
      <c r="A12" s="186"/>
      <c r="B12" s="186"/>
      <c r="C12" s="186"/>
      <c r="D12" s="186"/>
      <c r="E12" s="186"/>
      <c r="F12" s="186"/>
      <c r="G12" s="186"/>
      <c r="H12" s="186"/>
    </row>
    <row r="13" spans="1:8" x14ac:dyDescent="0.2">
      <c r="A13" s="186"/>
      <c r="B13" s="186"/>
      <c r="C13" s="186"/>
      <c r="D13" s="186"/>
      <c r="E13" s="186"/>
      <c r="F13" s="186"/>
      <c r="G13" s="186"/>
      <c r="H13" s="186"/>
    </row>
    <row r="14" spans="1:8" x14ac:dyDescent="0.2">
      <c r="A14" s="186"/>
      <c r="B14" s="186"/>
      <c r="C14" s="186"/>
      <c r="D14" s="186"/>
      <c r="E14" s="186"/>
      <c r="F14" s="186"/>
      <c r="G14" s="186"/>
      <c r="H14" s="186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189" t="s">
        <v>32</v>
      </c>
      <c r="B16" s="190"/>
      <c r="C16" s="190"/>
      <c r="D16" s="190"/>
      <c r="E16" s="190"/>
      <c r="F16" s="190"/>
      <c r="G16" s="190"/>
      <c r="H16" s="191"/>
    </row>
    <row r="17" spans="1:8" ht="18.75" customHeight="1" x14ac:dyDescent="0.3">
      <c r="A17" s="53" t="s">
        <v>33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">
      <c r="A18" s="54" t="s">
        <v>34</v>
      </c>
      <c r="B18" s="192" t="s">
        <v>5</v>
      </c>
      <c r="C18" s="192"/>
      <c r="D18" s="192"/>
      <c r="E18" s="192"/>
      <c r="F18" s="52"/>
      <c r="G18" s="52"/>
      <c r="H18" s="52"/>
    </row>
    <row r="19" spans="1:8" ht="26.25" customHeight="1" x14ac:dyDescent="0.4">
      <c r="A19" s="54" t="s">
        <v>35</v>
      </c>
      <c r="B19" s="56" t="s">
        <v>7</v>
      </c>
      <c r="C19" s="160">
        <v>6</v>
      </c>
      <c r="D19" s="55"/>
      <c r="E19" s="55"/>
      <c r="F19" s="52"/>
      <c r="G19" s="52"/>
      <c r="H19" s="52"/>
    </row>
    <row r="20" spans="1:8" ht="26.25" customHeight="1" x14ac:dyDescent="0.4">
      <c r="A20" s="54" t="s">
        <v>36</v>
      </c>
      <c r="B20" s="56" t="s">
        <v>9</v>
      </c>
      <c r="C20" s="55"/>
      <c r="D20" s="55"/>
      <c r="E20" s="55"/>
      <c r="F20" s="52"/>
      <c r="G20" s="52"/>
      <c r="H20" s="52"/>
    </row>
    <row r="21" spans="1:8" ht="26.25" customHeight="1" x14ac:dyDescent="0.4">
      <c r="A21" s="54" t="s">
        <v>37</v>
      </c>
      <c r="B21" s="193" t="s">
        <v>11</v>
      </c>
      <c r="C21" s="193"/>
      <c r="D21" s="193"/>
      <c r="E21" s="193"/>
      <c r="F21" s="193"/>
      <c r="G21" s="193"/>
      <c r="H21" s="193"/>
    </row>
    <row r="22" spans="1:8" ht="26.25" customHeight="1" x14ac:dyDescent="0.4">
      <c r="A22" s="54" t="s">
        <v>38</v>
      </c>
      <c r="B22" s="57">
        <v>42459</v>
      </c>
      <c r="C22" s="55"/>
      <c r="D22" s="55"/>
      <c r="E22" s="55"/>
      <c r="F22" s="52"/>
      <c r="G22" s="52"/>
      <c r="H22" s="52"/>
    </row>
    <row r="23" spans="1:8" ht="26.25" customHeight="1" x14ac:dyDescent="0.4">
      <c r="A23" s="54" t="s">
        <v>39</v>
      </c>
      <c r="B23" s="57">
        <v>42459</v>
      </c>
      <c r="C23" s="55"/>
      <c r="D23" s="55"/>
      <c r="E23" s="55"/>
      <c r="F23" s="52"/>
      <c r="G23" s="52"/>
      <c r="H23" s="52"/>
    </row>
    <row r="24" spans="1:8" ht="18.75" customHeight="1" x14ac:dyDescent="0.3">
      <c r="A24" s="54"/>
      <c r="B24" s="58"/>
      <c r="C24" s="52"/>
      <c r="D24" s="52"/>
      <c r="E24" s="52"/>
      <c r="F24" s="52"/>
      <c r="G24" s="52"/>
      <c r="H24" s="52"/>
    </row>
    <row r="25" spans="1:8" ht="18.75" customHeight="1" x14ac:dyDescent="0.3">
      <c r="A25" s="59" t="s">
        <v>1</v>
      </c>
      <c r="B25" s="58"/>
      <c r="C25" s="52"/>
      <c r="D25" s="52"/>
      <c r="E25" s="52"/>
      <c r="F25" s="52"/>
      <c r="G25" s="52"/>
      <c r="H25" s="52"/>
    </row>
    <row r="26" spans="1:8" ht="26.25" customHeight="1" x14ac:dyDescent="0.4">
      <c r="A26" s="60" t="s">
        <v>4</v>
      </c>
      <c r="B26" s="192" t="s">
        <v>9</v>
      </c>
      <c r="C26" s="192"/>
      <c r="D26" s="52"/>
      <c r="E26" s="52"/>
      <c r="F26" s="52"/>
      <c r="G26" s="52"/>
      <c r="H26" s="52"/>
    </row>
    <row r="27" spans="1:8" ht="26.25" customHeight="1" x14ac:dyDescent="0.4">
      <c r="A27" s="61" t="s">
        <v>40</v>
      </c>
      <c r="B27" s="193" t="s">
        <v>103</v>
      </c>
      <c r="C27" s="193"/>
      <c r="D27" s="52"/>
      <c r="E27" s="52"/>
      <c r="F27" s="52"/>
      <c r="G27" s="52"/>
      <c r="H27" s="52"/>
    </row>
    <row r="28" spans="1:8" ht="27" customHeight="1" x14ac:dyDescent="0.4">
      <c r="A28" s="61" t="s">
        <v>6</v>
      </c>
      <c r="B28" s="62">
        <v>99.18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1" t="s">
        <v>41</v>
      </c>
      <c r="B29" s="63">
        <v>0</v>
      </c>
      <c r="C29" s="194" t="s">
        <v>42</v>
      </c>
      <c r="D29" s="195"/>
      <c r="E29" s="195"/>
      <c r="F29" s="195"/>
      <c r="G29" s="196"/>
      <c r="H29" s="64"/>
    </row>
    <row r="30" spans="1:8" ht="19.5" customHeight="1" x14ac:dyDescent="0.3">
      <c r="A30" s="61" t="s">
        <v>43</v>
      </c>
      <c r="B30" s="65">
        <f>B28-B29</f>
        <v>99.18</v>
      </c>
      <c r="C30" s="66"/>
      <c r="D30" s="66"/>
      <c r="E30" s="66"/>
      <c r="F30" s="66"/>
      <c r="G30" s="66"/>
      <c r="H30" s="64"/>
    </row>
    <row r="31" spans="1:8" ht="27" customHeight="1" x14ac:dyDescent="0.4">
      <c r="A31" s="61" t="s">
        <v>44</v>
      </c>
      <c r="B31" s="67">
        <v>309.42599999999999</v>
      </c>
      <c r="C31" s="194" t="s">
        <v>45</v>
      </c>
      <c r="D31" s="195"/>
      <c r="E31" s="195"/>
      <c r="F31" s="195"/>
      <c r="G31" s="196"/>
      <c r="H31" s="68"/>
    </row>
    <row r="32" spans="1:8" ht="27" customHeight="1" x14ac:dyDescent="0.4">
      <c r="A32" s="61" t="s">
        <v>46</v>
      </c>
      <c r="B32" s="67">
        <v>425.42599999999999</v>
      </c>
      <c r="C32" s="194" t="s">
        <v>47</v>
      </c>
      <c r="D32" s="195"/>
      <c r="E32" s="195"/>
      <c r="F32" s="195"/>
      <c r="G32" s="196"/>
      <c r="H32" s="68"/>
    </row>
    <row r="33" spans="1:8" ht="18.75" customHeight="1" x14ac:dyDescent="0.3">
      <c r="A33" s="61"/>
      <c r="B33" s="69"/>
      <c r="C33" s="70"/>
      <c r="D33" s="70"/>
      <c r="E33" s="70"/>
      <c r="F33" s="70"/>
      <c r="G33" s="70"/>
      <c r="H33" s="70"/>
    </row>
    <row r="34" spans="1:8" ht="18.75" customHeight="1" x14ac:dyDescent="0.3">
      <c r="A34" s="61" t="s">
        <v>48</v>
      </c>
      <c r="B34" s="71">
        <f>B31/B32</f>
        <v>0.72733213296789567</v>
      </c>
      <c r="C34" s="52" t="s">
        <v>49</v>
      </c>
      <c r="D34" s="52"/>
      <c r="E34" s="52"/>
      <c r="F34" s="52"/>
      <c r="G34" s="52"/>
      <c r="H34" s="64"/>
    </row>
    <row r="35" spans="1:8" ht="19.5" customHeight="1" x14ac:dyDescent="0.3">
      <c r="A35" s="61"/>
      <c r="B35" s="72"/>
      <c r="C35" s="64"/>
      <c r="D35" s="64"/>
      <c r="E35" s="64"/>
      <c r="F35" s="64"/>
      <c r="G35" s="52"/>
      <c r="H35" s="64"/>
    </row>
    <row r="36" spans="1:8" ht="27" customHeight="1" x14ac:dyDescent="0.4">
      <c r="A36" s="73" t="s">
        <v>50</v>
      </c>
      <c r="B36" s="74">
        <v>50</v>
      </c>
      <c r="C36" s="52"/>
      <c r="D36" s="197" t="s">
        <v>51</v>
      </c>
      <c r="E36" s="198"/>
      <c r="F36" s="199" t="s">
        <v>52</v>
      </c>
      <c r="G36" s="198"/>
      <c r="H36" s="64"/>
    </row>
    <row r="37" spans="1:8" ht="26.25" customHeight="1" x14ac:dyDescent="0.4">
      <c r="A37" s="75" t="s">
        <v>53</v>
      </c>
      <c r="B37" s="76">
        <v>2</v>
      </c>
      <c r="C37" s="77" t="s">
        <v>54</v>
      </c>
      <c r="D37" s="78" t="s">
        <v>55</v>
      </c>
      <c r="E37" s="79" t="s">
        <v>56</v>
      </c>
      <c r="F37" s="80" t="s">
        <v>55</v>
      </c>
      <c r="G37" s="79" t="s">
        <v>56</v>
      </c>
      <c r="H37" s="64"/>
    </row>
    <row r="38" spans="1:8" ht="26.25" customHeight="1" x14ac:dyDescent="0.4">
      <c r="A38" s="75" t="s">
        <v>57</v>
      </c>
      <c r="B38" s="76">
        <v>25</v>
      </c>
      <c r="C38" s="81">
        <v>1</v>
      </c>
      <c r="D38" s="82">
        <v>45152847</v>
      </c>
      <c r="E38" s="83">
        <f>IF(ISBLANK(D38),"-",$D$48/$D$45*D38)</f>
        <v>60318490.508516222</v>
      </c>
      <c r="F38" s="84">
        <v>43027836</v>
      </c>
      <c r="G38" s="83">
        <f>IF(ISBLANK(F38),"-",$D$48/$F$45*F38)</f>
        <v>60652653.31100902</v>
      </c>
      <c r="H38" s="64"/>
    </row>
    <row r="39" spans="1:8" ht="26.25" customHeight="1" x14ac:dyDescent="0.4">
      <c r="A39" s="75" t="s">
        <v>58</v>
      </c>
      <c r="B39" s="76">
        <v>1</v>
      </c>
      <c r="C39" s="85">
        <v>2</v>
      </c>
      <c r="D39" s="86">
        <v>45103566</v>
      </c>
      <c r="E39" s="87">
        <f>IF(ISBLANK(D39),"-",$D$48/$D$45*D39)</f>
        <v>60252657.32792519</v>
      </c>
      <c r="F39" s="88">
        <v>43034078</v>
      </c>
      <c r="G39" s="87">
        <f>IF(ISBLANK(F39),"-",$D$48/$F$45*F39)</f>
        <v>60661452.123525813</v>
      </c>
      <c r="H39" s="64"/>
    </row>
    <row r="40" spans="1:8" ht="26.25" customHeight="1" x14ac:dyDescent="0.4">
      <c r="A40" s="75" t="s">
        <v>59</v>
      </c>
      <c r="B40" s="76">
        <v>1</v>
      </c>
      <c r="C40" s="85">
        <v>3</v>
      </c>
      <c r="D40" s="86">
        <v>45061201</v>
      </c>
      <c r="E40" s="87">
        <f>IF(ISBLANK(D40),"-",$D$48/$D$45*D40)</f>
        <v>60196063.048268951</v>
      </c>
      <c r="F40" s="88">
        <v>42978232</v>
      </c>
      <c r="G40" s="87">
        <f>IF(ISBLANK(F40),"-",$D$48/$F$45*F40)</f>
        <v>60582730.802825265</v>
      </c>
      <c r="H40" s="52"/>
    </row>
    <row r="41" spans="1:8" ht="26.25" customHeight="1" x14ac:dyDescent="0.4">
      <c r="A41" s="75" t="s">
        <v>60</v>
      </c>
      <c r="B41" s="76">
        <v>1</v>
      </c>
      <c r="C41" s="89">
        <v>4</v>
      </c>
      <c r="D41" s="90"/>
      <c r="E41" s="91" t="str">
        <f>IF(ISBLANK(D41),"-",$D$48/$D$45*D41)</f>
        <v>-</v>
      </c>
      <c r="F41" s="92"/>
      <c r="G41" s="91" t="str">
        <f>IF(ISBLANK(F41),"-",$D$48/$F$45*F41)</f>
        <v>-</v>
      </c>
      <c r="H41" s="52"/>
    </row>
    <row r="42" spans="1:8" ht="27" customHeight="1" x14ac:dyDescent="0.4">
      <c r="A42" s="75" t="s">
        <v>61</v>
      </c>
      <c r="B42" s="76">
        <v>1</v>
      </c>
      <c r="C42" s="93" t="s">
        <v>62</v>
      </c>
      <c r="D42" s="94">
        <f>AVERAGE(D38:D41)</f>
        <v>45105871.333333336</v>
      </c>
      <c r="E42" s="95">
        <f>AVERAGE(E38:E41)</f>
        <v>60255736.961570121</v>
      </c>
      <c r="F42" s="96">
        <f>AVERAGE(F38:F41)</f>
        <v>43013382</v>
      </c>
      <c r="G42" s="95">
        <f>AVERAGE(G38:G41)</f>
        <v>60632278.745786697</v>
      </c>
      <c r="H42" s="52"/>
    </row>
    <row r="43" spans="1:8" ht="26.25" customHeight="1" x14ac:dyDescent="0.4">
      <c r="A43" s="75" t="s">
        <v>63</v>
      </c>
      <c r="B43" s="88">
        <v>1</v>
      </c>
      <c r="C43" s="97" t="s">
        <v>64</v>
      </c>
      <c r="D43" s="98">
        <v>18.16</v>
      </c>
      <c r="E43" s="99"/>
      <c r="F43" s="98">
        <v>17.21</v>
      </c>
      <c r="G43" s="52"/>
      <c r="H43" s="52"/>
    </row>
    <row r="44" spans="1:8" ht="26.25" customHeight="1" x14ac:dyDescent="0.4">
      <c r="A44" s="75" t="s">
        <v>65</v>
      </c>
      <c r="B44" s="88">
        <v>1</v>
      </c>
      <c r="C44" s="100" t="s">
        <v>66</v>
      </c>
      <c r="D44" s="101">
        <f>D43*$B$34</f>
        <v>13.208351534696986</v>
      </c>
      <c r="E44" s="102"/>
      <c r="F44" s="101">
        <f>F43*$B$34</f>
        <v>12.517386008377485</v>
      </c>
      <c r="G44" s="52"/>
      <c r="H44" s="52"/>
    </row>
    <row r="45" spans="1:8" ht="19.5" customHeight="1" x14ac:dyDescent="0.3">
      <c r="A45" s="75" t="s">
        <v>67</v>
      </c>
      <c r="B45" s="102">
        <f>(B44/B43)*(B42/B41)*(B40/B39)*(B38/B37)*B36</f>
        <v>625</v>
      </c>
      <c r="C45" s="100" t="s">
        <v>68</v>
      </c>
      <c r="D45" s="103">
        <f>D44*$B$30/100</f>
        <v>13.100043052112472</v>
      </c>
      <c r="E45" s="104"/>
      <c r="F45" s="103">
        <f>F44*$B$30/100</f>
        <v>12.414743443108792</v>
      </c>
      <c r="G45" s="52"/>
      <c r="H45" s="52"/>
    </row>
    <row r="46" spans="1:8" ht="19.5" customHeight="1" x14ac:dyDescent="0.3">
      <c r="A46" s="169" t="s">
        <v>69</v>
      </c>
      <c r="B46" s="187"/>
      <c r="C46" s="100" t="s">
        <v>70</v>
      </c>
      <c r="D46" s="101">
        <f>D45/$B$45</f>
        <v>2.0960068883379954E-2</v>
      </c>
      <c r="E46" s="104"/>
      <c r="F46" s="105">
        <f>F45/$B$45</f>
        <v>1.9863589508974069E-2</v>
      </c>
      <c r="G46" s="52"/>
      <c r="H46" s="52"/>
    </row>
    <row r="47" spans="1:8" ht="27" customHeight="1" x14ac:dyDescent="0.4">
      <c r="A47" s="171"/>
      <c r="B47" s="188"/>
      <c r="C47" s="100" t="s">
        <v>71</v>
      </c>
      <c r="D47" s="106">
        <v>2.8000000000000001E-2</v>
      </c>
      <c r="E47" s="52"/>
      <c r="F47" s="107"/>
      <c r="G47" s="52"/>
      <c r="H47" s="52"/>
    </row>
    <row r="48" spans="1:8" ht="18.75" customHeight="1" x14ac:dyDescent="0.3">
      <c r="A48" s="52"/>
      <c r="B48" s="52"/>
      <c r="C48" s="100" t="s">
        <v>72</v>
      </c>
      <c r="D48" s="103">
        <f>D47*$B$45</f>
        <v>17.5</v>
      </c>
      <c r="E48" s="52"/>
      <c r="F48" s="107"/>
      <c r="G48" s="52"/>
      <c r="H48" s="52"/>
    </row>
    <row r="49" spans="1:8" ht="19.5" customHeight="1" x14ac:dyDescent="0.3">
      <c r="A49" s="52"/>
      <c r="B49" s="52"/>
      <c r="C49" s="108" t="s">
        <v>73</v>
      </c>
      <c r="D49" s="109">
        <f>D48/B34</f>
        <v>24.060534667416444</v>
      </c>
      <c r="E49" s="52"/>
      <c r="F49" s="110"/>
      <c r="G49" s="52"/>
      <c r="H49" s="52"/>
    </row>
    <row r="50" spans="1:8" ht="18.75" customHeight="1" x14ac:dyDescent="0.3">
      <c r="A50" s="52"/>
      <c r="B50" s="52"/>
      <c r="C50" s="111" t="s">
        <v>74</v>
      </c>
      <c r="D50" s="112">
        <f>AVERAGE(E38:E41,G38:G41)</f>
        <v>60444007.853678413</v>
      </c>
      <c r="E50" s="52"/>
      <c r="F50" s="110"/>
      <c r="G50" s="52"/>
      <c r="H50" s="52"/>
    </row>
    <row r="51" spans="1:8" ht="18.75" customHeight="1" x14ac:dyDescent="0.3">
      <c r="A51" s="52"/>
      <c r="B51" s="52"/>
      <c r="C51" s="100" t="s">
        <v>75</v>
      </c>
      <c r="D51" s="113">
        <f>STDEV(E38:E41,G38:G41)/D50</f>
        <v>3.5010142712471335E-3</v>
      </c>
      <c r="E51" s="52"/>
      <c r="F51" s="110"/>
      <c r="G51" s="52"/>
      <c r="H51" s="52"/>
    </row>
    <row r="52" spans="1:8" ht="19.5" customHeight="1" x14ac:dyDescent="0.3">
      <c r="A52" s="52"/>
      <c r="B52" s="52"/>
      <c r="C52" s="108" t="s">
        <v>19</v>
      </c>
      <c r="D52" s="114">
        <f>COUNT(E38:E41,G38:G41)</f>
        <v>6</v>
      </c>
      <c r="E52" s="52"/>
      <c r="F52" s="52"/>
      <c r="G52" s="52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5" t="s">
        <v>76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52" t="s">
        <v>77</v>
      </c>
      <c r="B55" s="116" t="str">
        <f>B21</f>
        <v>Ketotifen Fumarate B.P to 0.25 mg Ketofen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61" t="s">
        <v>78</v>
      </c>
      <c r="B56" s="117">
        <v>1</v>
      </c>
      <c r="C56" s="118" t="s">
        <v>79</v>
      </c>
      <c r="D56" s="208">
        <v>0.25</v>
      </c>
      <c r="E56" s="52" t="str">
        <f>B20</f>
        <v xml:space="preserve">Ketotifen Fumarate  </v>
      </c>
      <c r="F56" s="52"/>
      <c r="G56" s="52"/>
      <c r="H56" s="118"/>
    </row>
    <row r="57" spans="1:8" ht="19.5" customHeight="1" x14ac:dyDescent="0.3">
      <c r="A57" s="52"/>
      <c r="B57" s="52"/>
      <c r="C57" s="52"/>
      <c r="D57" s="52"/>
      <c r="E57" s="52"/>
      <c r="F57" s="52"/>
      <c r="G57" s="52"/>
      <c r="H57" s="118"/>
    </row>
    <row r="58" spans="1:8" ht="27" customHeight="1" x14ac:dyDescent="0.4">
      <c r="A58" s="73" t="s">
        <v>80</v>
      </c>
      <c r="B58" s="74">
        <v>100</v>
      </c>
      <c r="C58" s="52"/>
      <c r="D58" s="119" t="s">
        <v>81</v>
      </c>
      <c r="E58" s="120" t="s">
        <v>54</v>
      </c>
      <c r="F58" s="120" t="s">
        <v>55</v>
      </c>
      <c r="G58" s="120" t="s">
        <v>82</v>
      </c>
      <c r="H58" s="77" t="s">
        <v>83</v>
      </c>
    </row>
    <row r="59" spans="1:8" ht="26.25" customHeight="1" x14ac:dyDescent="0.4">
      <c r="A59" s="75" t="s">
        <v>84</v>
      </c>
      <c r="B59" s="76">
        <v>1</v>
      </c>
      <c r="C59" s="175" t="s">
        <v>85</v>
      </c>
      <c r="D59" s="178">
        <v>10</v>
      </c>
      <c r="E59" s="121">
        <v>1</v>
      </c>
      <c r="F59" s="122">
        <v>50543259</v>
      </c>
      <c r="G59" s="123">
        <f t="shared" ref="G59:G70" si="0">IF(ISBLANK(F59),"-",(F59/$D$50*$D$47*$B$67)*($B$56/$D$59))</f>
        <v>0.23413590565104717</v>
      </c>
      <c r="H59" s="124">
        <f t="shared" ref="H59:H70" si="1">IF(ISBLANK(F59),"-",G59/$D$56)</f>
        <v>0.93654362260418866</v>
      </c>
    </row>
    <row r="60" spans="1:8" ht="26.25" customHeight="1" x14ac:dyDescent="0.4">
      <c r="A60" s="75" t="s">
        <v>86</v>
      </c>
      <c r="B60" s="76">
        <v>1</v>
      </c>
      <c r="C60" s="176"/>
      <c r="D60" s="179"/>
      <c r="E60" s="125">
        <v>2</v>
      </c>
      <c r="F60" s="86">
        <v>50516620</v>
      </c>
      <c r="G60" s="126">
        <f t="shared" si="0"/>
        <v>0.23401250350971237</v>
      </c>
      <c r="H60" s="127">
        <f t="shared" si="1"/>
        <v>0.93605001403884946</v>
      </c>
    </row>
    <row r="61" spans="1:8" ht="26.25" customHeight="1" x14ac:dyDescent="0.4">
      <c r="A61" s="75" t="s">
        <v>87</v>
      </c>
      <c r="B61" s="76">
        <v>1</v>
      </c>
      <c r="C61" s="176"/>
      <c r="D61" s="179"/>
      <c r="E61" s="125">
        <v>3</v>
      </c>
      <c r="F61" s="86">
        <v>50417717</v>
      </c>
      <c r="G61" s="126">
        <f t="shared" si="0"/>
        <v>0.23355434659749968</v>
      </c>
      <c r="H61" s="127">
        <f t="shared" si="1"/>
        <v>0.93421738638999874</v>
      </c>
    </row>
    <row r="62" spans="1:8" ht="27" customHeight="1" x14ac:dyDescent="0.4">
      <c r="A62" s="75" t="s">
        <v>88</v>
      </c>
      <c r="B62" s="76">
        <v>1</v>
      </c>
      <c r="C62" s="177"/>
      <c r="D62" s="180"/>
      <c r="E62" s="128">
        <v>4</v>
      </c>
      <c r="F62" s="129"/>
      <c r="G62" s="126" t="str">
        <f t="shared" si="0"/>
        <v>-</v>
      </c>
      <c r="H62" s="127" t="str">
        <f t="shared" si="1"/>
        <v>-</v>
      </c>
    </row>
    <row r="63" spans="1:8" ht="26.25" customHeight="1" x14ac:dyDescent="0.4">
      <c r="A63" s="75" t="s">
        <v>89</v>
      </c>
      <c r="B63" s="76">
        <v>1</v>
      </c>
      <c r="C63" s="175" t="s">
        <v>90</v>
      </c>
      <c r="D63" s="181">
        <v>10</v>
      </c>
      <c r="E63" s="121">
        <v>1</v>
      </c>
      <c r="F63" s="122">
        <v>51731634</v>
      </c>
      <c r="G63" s="123">
        <f t="shared" si="0"/>
        <v>0.23964091784027028</v>
      </c>
      <c r="H63" s="124">
        <f t="shared" si="1"/>
        <v>0.95856367136108112</v>
      </c>
    </row>
    <row r="64" spans="1:8" ht="26.25" customHeight="1" x14ac:dyDescent="0.4">
      <c r="A64" s="75" t="s">
        <v>91</v>
      </c>
      <c r="B64" s="76">
        <v>1</v>
      </c>
      <c r="C64" s="176"/>
      <c r="D64" s="182"/>
      <c r="E64" s="125">
        <v>2</v>
      </c>
      <c r="F64" s="86">
        <v>51722647</v>
      </c>
      <c r="G64" s="126">
        <f t="shared" si="0"/>
        <v>0.23959928658368501</v>
      </c>
      <c r="H64" s="127">
        <f t="shared" si="1"/>
        <v>0.95839714633474005</v>
      </c>
    </row>
    <row r="65" spans="1:8" ht="26.25" customHeight="1" x14ac:dyDescent="0.4">
      <c r="A65" s="75" t="s">
        <v>92</v>
      </c>
      <c r="B65" s="76">
        <v>1</v>
      </c>
      <c r="C65" s="176"/>
      <c r="D65" s="182"/>
      <c r="E65" s="125">
        <v>3</v>
      </c>
      <c r="F65" s="86">
        <v>51682910</v>
      </c>
      <c r="G65" s="126">
        <f t="shared" si="0"/>
        <v>0.23941520944527062</v>
      </c>
      <c r="H65" s="127">
        <f t="shared" si="1"/>
        <v>0.95766083778108246</v>
      </c>
    </row>
    <row r="66" spans="1:8" ht="27" customHeight="1" x14ac:dyDescent="0.4">
      <c r="A66" s="75" t="s">
        <v>93</v>
      </c>
      <c r="B66" s="76">
        <v>1</v>
      </c>
      <c r="C66" s="177"/>
      <c r="D66" s="183"/>
      <c r="E66" s="128">
        <v>4</v>
      </c>
      <c r="F66" s="129"/>
      <c r="G66" s="130" t="str">
        <f t="shared" si="0"/>
        <v>-</v>
      </c>
      <c r="H66" s="131" t="str">
        <f t="shared" si="1"/>
        <v>-</v>
      </c>
    </row>
    <row r="67" spans="1:8" ht="26.25" customHeight="1" x14ac:dyDescent="0.4">
      <c r="A67" s="75" t="s">
        <v>94</v>
      </c>
      <c r="B67" s="85">
        <f>(B66/B65)*(B64/B63)*(B62/B61)*(B60/B59)*B58</f>
        <v>100</v>
      </c>
      <c r="C67" s="175" t="s">
        <v>95</v>
      </c>
      <c r="D67" s="178">
        <v>10</v>
      </c>
      <c r="E67" s="121">
        <v>1</v>
      </c>
      <c r="F67" s="122">
        <v>51698851</v>
      </c>
      <c r="G67" s="126">
        <f t="shared" si="0"/>
        <v>0.23948905431688808</v>
      </c>
      <c r="H67" s="127">
        <f t="shared" si="1"/>
        <v>0.95795621726755231</v>
      </c>
    </row>
    <row r="68" spans="1:8" ht="27" customHeight="1" x14ac:dyDescent="0.4">
      <c r="A68" s="132" t="s">
        <v>96</v>
      </c>
      <c r="B68" s="133">
        <f>(D47*B67)/D56*B56</f>
        <v>11.200000000000001</v>
      </c>
      <c r="C68" s="176"/>
      <c r="D68" s="179"/>
      <c r="E68" s="125">
        <v>2</v>
      </c>
      <c r="F68" s="86">
        <v>52230366</v>
      </c>
      <c r="G68" s="126">
        <f t="shared" si="0"/>
        <v>0.24195123717478648</v>
      </c>
      <c r="H68" s="127">
        <f t="shared" si="1"/>
        <v>0.96780494869914591</v>
      </c>
    </row>
    <row r="69" spans="1:8" ht="26.25" customHeight="1" x14ac:dyDescent="0.4">
      <c r="A69" s="169" t="s">
        <v>69</v>
      </c>
      <c r="B69" s="170"/>
      <c r="C69" s="176"/>
      <c r="D69" s="179"/>
      <c r="E69" s="125">
        <v>3</v>
      </c>
      <c r="F69" s="86">
        <v>52181347</v>
      </c>
      <c r="G69" s="126">
        <f t="shared" si="0"/>
        <v>0.24172416222579854</v>
      </c>
      <c r="H69" s="127">
        <f t="shared" si="1"/>
        <v>0.96689664890319416</v>
      </c>
    </row>
    <row r="70" spans="1:8" ht="27" customHeight="1" x14ac:dyDescent="0.4">
      <c r="A70" s="171"/>
      <c r="B70" s="172"/>
      <c r="C70" s="184"/>
      <c r="D70" s="180"/>
      <c r="E70" s="128">
        <v>4</v>
      </c>
      <c r="F70" s="129"/>
      <c r="G70" s="130" t="str">
        <f t="shared" si="0"/>
        <v>-</v>
      </c>
      <c r="H70" s="131" t="str">
        <f t="shared" si="1"/>
        <v>-</v>
      </c>
    </row>
    <row r="71" spans="1:8" ht="26.25" customHeight="1" x14ac:dyDescent="0.4">
      <c r="A71" s="134"/>
      <c r="B71" s="134"/>
      <c r="C71" s="134"/>
      <c r="D71" s="134"/>
      <c r="E71" s="134"/>
      <c r="F71" s="135"/>
      <c r="G71" s="136" t="s">
        <v>62</v>
      </c>
      <c r="H71" s="137">
        <f>AVERAGE(H59:H70)</f>
        <v>0.95267672148664806</v>
      </c>
    </row>
    <row r="72" spans="1:8" ht="26.25" customHeight="1" x14ac:dyDescent="0.4">
      <c r="A72" s="52"/>
      <c r="B72" s="52"/>
      <c r="C72" s="134"/>
      <c r="D72" s="134"/>
      <c r="E72" s="134"/>
      <c r="F72" s="135"/>
      <c r="G72" s="138" t="s">
        <v>75</v>
      </c>
      <c r="H72" s="139">
        <f>STDEV(H59:H70)/H71</f>
        <v>1.4027170444618141E-2</v>
      </c>
    </row>
    <row r="73" spans="1:8" ht="27" customHeight="1" x14ac:dyDescent="0.4">
      <c r="A73" s="134"/>
      <c r="B73" s="134"/>
      <c r="C73" s="135"/>
      <c r="D73" s="135"/>
      <c r="E73" s="140"/>
      <c r="F73" s="135"/>
      <c r="G73" s="141" t="s">
        <v>19</v>
      </c>
      <c r="H73" s="142">
        <f>COUNT(H59:H70)</f>
        <v>9</v>
      </c>
    </row>
    <row r="74" spans="1:8" ht="18.75" customHeight="1" x14ac:dyDescent="0.3">
      <c r="A74" s="134"/>
      <c r="B74" s="134"/>
      <c r="C74" s="135"/>
      <c r="D74" s="135"/>
      <c r="E74" s="135"/>
      <c r="F74" s="140"/>
      <c r="G74" s="135"/>
      <c r="H74" s="135"/>
    </row>
    <row r="75" spans="1:8" ht="26.25" customHeight="1" x14ac:dyDescent="0.4">
      <c r="A75" s="143" t="s">
        <v>97</v>
      </c>
      <c r="B75" s="144" t="s">
        <v>98</v>
      </c>
      <c r="C75" s="173" t="str">
        <f>B20</f>
        <v xml:space="preserve">Ketotifen Fumarate  </v>
      </c>
      <c r="D75" s="173"/>
      <c r="E75" s="145" t="s">
        <v>99</v>
      </c>
      <c r="F75" s="145"/>
      <c r="G75" s="146">
        <f>H71</f>
        <v>0.95267672148664806</v>
      </c>
      <c r="H75" s="135"/>
    </row>
    <row r="76" spans="1:8" ht="19.5" customHeight="1" x14ac:dyDescent="0.3">
      <c r="A76" s="147"/>
      <c r="B76" s="148"/>
      <c r="C76" s="148"/>
      <c r="D76" s="148"/>
      <c r="E76" s="148"/>
      <c r="F76" s="148"/>
      <c r="G76" s="148"/>
      <c r="H76" s="148"/>
    </row>
    <row r="77" spans="1:8" ht="18.75" customHeight="1" x14ac:dyDescent="0.3">
      <c r="A77" s="52"/>
      <c r="B77" s="174" t="s">
        <v>25</v>
      </c>
      <c r="C77" s="174"/>
      <c r="D77" s="118"/>
      <c r="E77" s="149" t="s">
        <v>26</v>
      </c>
      <c r="F77" s="150"/>
      <c r="G77" s="174" t="s">
        <v>27</v>
      </c>
      <c r="H77" s="174"/>
    </row>
    <row r="78" spans="1:8" ht="60" customHeight="1" x14ac:dyDescent="0.3">
      <c r="A78" s="151" t="s">
        <v>28</v>
      </c>
      <c r="B78" s="152" t="s">
        <v>108</v>
      </c>
      <c r="C78" s="152"/>
      <c r="D78" s="153"/>
      <c r="E78" s="154" t="s">
        <v>107</v>
      </c>
      <c r="F78" s="52"/>
      <c r="G78" s="155"/>
      <c r="H78" s="155"/>
    </row>
    <row r="79" spans="1:8" ht="60" customHeight="1" x14ac:dyDescent="0.3">
      <c r="A79" s="151" t="s">
        <v>29</v>
      </c>
      <c r="B79" s="156"/>
      <c r="C79" s="156"/>
      <c r="D79" s="157"/>
      <c r="E79" s="158"/>
      <c r="F79" s="150"/>
      <c r="G79" s="159"/>
      <c r="H79" s="159"/>
    </row>
    <row r="250" spans="1:1" x14ac:dyDescent="0.2">
      <c r="A250">
        <v>5</v>
      </c>
    </row>
  </sheetData>
  <sheetProtection formatColumns="0" formatRows="0" insertColumns="0" insertHyperlinks="0" deleteColumns="0" deleteRows="0" autoFilter="0" pivotTables="0"/>
  <mergeCells count="23">
    <mergeCell ref="A1:H7"/>
    <mergeCell ref="A8:H14"/>
    <mergeCell ref="A46:B47"/>
    <mergeCell ref="A16:H16"/>
    <mergeCell ref="B18:E18"/>
    <mergeCell ref="B21:H21"/>
    <mergeCell ref="B26:C26"/>
    <mergeCell ref="B27:C27"/>
    <mergeCell ref="C29:G29"/>
    <mergeCell ref="C31:G31"/>
    <mergeCell ref="C32:G32"/>
    <mergeCell ref="D36:E36"/>
    <mergeCell ref="F36:G36"/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</mergeCells>
  <conditionalFormatting sqref="D51">
    <cfRule type="cellIs" dxfId="3" priority="1" operator="greaterThan">
      <formula>0.02</formula>
    </cfRule>
  </conditionalFormatting>
  <conditionalFormatting sqref="H72">
    <cfRule type="cellIs" dxfId="2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1"/>
  <sheetViews>
    <sheetView workbookViewId="0">
      <selection activeCell="E5" sqref="E5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  <col min="10" max="16384" width="9.140625" style="44"/>
  </cols>
  <sheetData>
    <row r="2" spans="1:9" x14ac:dyDescent="0.25">
      <c r="D2" s="206">
        <v>20177047</v>
      </c>
      <c r="E2" s="206">
        <v>23308437</v>
      </c>
      <c r="G2" s="206"/>
      <c r="H2" s="206"/>
      <c r="I2" s="206"/>
    </row>
    <row r="3" spans="1:9" x14ac:dyDescent="0.25">
      <c r="D3" s="206">
        <v>23.32</v>
      </c>
      <c r="E3" s="206">
        <v>27.46</v>
      </c>
      <c r="F3" s="206">
        <v>23.4</v>
      </c>
      <c r="G3" s="206"/>
      <c r="H3" s="206"/>
      <c r="I3" s="206"/>
    </row>
    <row r="4" spans="1:9" x14ac:dyDescent="0.25">
      <c r="D4" s="206"/>
      <c r="E4" s="206"/>
      <c r="F4" s="206">
        <v>23.4</v>
      </c>
      <c r="G4" s="206"/>
      <c r="H4" s="206"/>
    </row>
    <row r="5" spans="1:9" x14ac:dyDescent="0.25">
      <c r="D5" s="206"/>
      <c r="E5" s="207">
        <f>(D2*D3)/(E2*E3)</f>
        <v>0.73514408447996904</v>
      </c>
      <c r="F5" s="206">
        <v>23.4</v>
      </c>
      <c r="G5" s="206"/>
      <c r="H5" s="206"/>
    </row>
    <row r="6" spans="1:9" x14ac:dyDescent="0.25">
      <c r="D6" s="206"/>
      <c r="E6" s="206"/>
      <c r="F6" s="206">
        <v>23.4</v>
      </c>
      <c r="G6" s="206"/>
      <c r="H6" s="206"/>
    </row>
    <row r="7" spans="1:9" x14ac:dyDescent="0.25">
      <c r="D7" s="206"/>
      <c r="E7" s="206"/>
      <c r="F7" s="206">
        <v>23.5</v>
      </c>
      <c r="G7" s="206"/>
      <c r="H7" s="206"/>
    </row>
    <row r="8" spans="1:9" x14ac:dyDescent="0.25">
      <c r="D8" s="206"/>
      <c r="E8" s="206"/>
      <c r="F8" s="206">
        <v>23.5</v>
      </c>
      <c r="G8" s="206"/>
      <c r="H8" s="206"/>
    </row>
    <row r="9" spans="1:9" x14ac:dyDescent="0.25">
      <c r="D9" s="206"/>
      <c r="E9" s="206"/>
      <c r="F9" s="206"/>
      <c r="G9" s="206"/>
      <c r="H9" s="206"/>
    </row>
    <row r="10" spans="1:9" x14ac:dyDescent="0.25">
      <c r="D10" s="206"/>
      <c r="E10" s="206"/>
      <c r="F10" s="206">
        <f>SUM(F3:F9)</f>
        <v>140.6</v>
      </c>
      <c r="G10" s="206"/>
      <c r="H10" s="206"/>
    </row>
    <row r="11" spans="1:9" x14ac:dyDescent="0.25">
      <c r="D11" s="206"/>
      <c r="E11" s="206"/>
      <c r="F11" s="206">
        <f>F10/6</f>
        <v>23.433333333333334</v>
      </c>
      <c r="G11" s="206"/>
      <c r="H11" s="206"/>
    </row>
    <row r="12" spans="1:9" x14ac:dyDescent="0.25">
      <c r="D12" s="206"/>
      <c r="E12" s="206"/>
      <c r="F12" s="206"/>
      <c r="G12" s="206"/>
      <c r="H12" s="206"/>
    </row>
    <row r="14" spans="1:9" ht="15" customHeight="1" x14ac:dyDescent="0.3">
      <c r="A14" s="1"/>
      <c r="C14" s="3"/>
      <c r="F14" s="3"/>
    </row>
    <row r="15" spans="1:9" ht="18.75" customHeight="1" x14ac:dyDescent="0.3">
      <c r="A15" s="167" t="s">
        <v>0</v>
      </c>
      <c r="B15" s="167"/>
      <c r="C15" s="167"/>
      <c r="D15" s="167"/>
      <c r="E15" s="167"/>
    </row>
    <row r="16" spans="1:9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36"/>
    </row>
    <row r="18" spans="1:5" ht="16.5" customHeight="1" x14ac:dyDescent="0.3">
      <c r="A18" s="11" t="s">
        <v>4</v>
      </c>
      <c r="B18" s="4" t="s">
        <v>102</v>
      </c>
      <c r="C18" s="36"/>
      <c r="D18" s="36"/>
      <c r="E18" s="36"/>
    </row>
    <row r="19" spans="1:5" ht="16.5" customHeight="1" x14ac:dyDescent="0.3">
      <c r="A19" s="11" t="s">
        <v>6</v>
      </c>
      <c r="B19" s="12">
        <v>50.1</v>
      </c>
      <c r="C19" s="36"/>
      <c r="D19" s="36"/>
      <c r="E19" s="36"/>
    </row>
    <row r="20" spans="1:5" ht="16.5" customHeight="1" x14ac:dyDescent="0.3">
      <c r="A20" s="8" t="s">
        <v>8</v>
      </c>
      <c r="B20" s="12">
        <f>'Benzalkonium Cl'!D43</f>
        <v>23.32</v>
      </c>
      <c r="C20" s="36"/>
      <c r="D20" s="36"/>
      <c r="E20" s="36"/>
    </row>
    <row r="21" spans="1:5" ht="16.5" customHeight="1" x14ac:dyDescent="0.3">
      <c r="A21" s="8" t="s">
        <v>10</v>
      </c>
      <c r="B21" s="13">
        <f>B20/'Benzalkonium Cl'!B45</f>
        <v>9.3280000000000002E-2</v>
      </c>
      <c r="C21" s="36"/>
      <c r="D21" s="36"/>
      <c r="E21" s="36"/>
    </row>
    <row r="22" spans="1:5" ht="15.75" customHeight="1" x14ac:dyDescent="0.25">
      <c r="A22" s="36"/>
      <c r="B22" s="161">
        <v>42447</v>
      </c>
      <c r="C22" s="36"/>
      <c r="D22" s="36"/>
      <c r="E22" s="36"/>
    </row>
    <row r="23" spans="1:5" ht="16.5" customHeight="1" x14ac:dyDescent="0.3">
      <c r="A23" s="16" t="s">
        <v>12</v>
      </c>
      <c r="B23" s="15" t="s">
        <v>13</v>
      </c>
      <c r="C23" s="16" t="s">
        <v>14</v>
      </c>
      <c r="D23" s="16" t="s">
        <v>15</v>
      </c>
      <c r="E23" s="201" t="s">
        <v>16</v>
      </c>
    </row>
    <row r="24" spans="1:5" ht="16.5" customHeight="1" x14ac:dyDescent="0.3">
      <c r="A24" s="17">
        <v>1</v>
      </c>
      <c r="B24" s="18">
        <v>14594848</v>
      </c>
      <c r="C24" s="18">
        <v>9386.9</v>
      </c>
      <c r="D24" s="200">
        <v>1.5</v>
      </c>
      <c r="E24" s="203">
        <v>11.6</v>
      </c>
    </row>
    <row r="25" spans="1:5" ht="16.5" customHeight="1" x14ac:dyDescent="0.3">
      <c r="A25" s="17">
        <v>2</v>
      </c>
      <c r="B25" s="18">
        <v>14575320</v>
      </c>
      <c r="C25" s="18">
        <v>9391.6</v>
      </c>
      <c r="D25" s="200">
        <v>1.5</v>
      </c>
      <c r="E25" s="204">
        <v>11.6</v>
      </c>
    </row>
    <row r="26" spans="1:5" ht="16.5" customHeight="1" x14ac:dyDescent="0.3">
      <c r="A26" s="17">
        <v>3</v>
      </c>
      <c r="B26" s="18">
        <v>14640555</v>
      </c>
      <c r="C26" s="18">
        <v>9389.5</v>
      </c>
      <c r="D26" s="200">
        <v>1.5</v>
      </c>
      <c r="E26" s="204">
        <v>11.6</v>
      </c>
    </row>
    <row r="27" spans="1:5" ht="16.5" customHeight="1" x14ac:dyDescent="0.3">
      <c r="A27" s="17">
        <v>4</v>
      </c>
      <c r="B27" s="18">
        <v>14617349</v>
      </c>
      <c r="C27" s="18">
        <v>9411.2999999999993</v>
      </c>
      <c r="D27" s="200">
        <v>1.5</v>
      </c>
      <c r="E27" s="204">
        <v>11.6</v>
      </c>
    </row>
    <row r="28" spans="1:5" ht="16.5" customHeight="1" x14ac:dyDescent="0.3">
      <c r="A28" s="17">
        <v>5</v>
      </c>
      <c r="B28" s="18">
        <v>14585746</v>
      </c>
      <c r="C28" s="18">
        <v>9372.6</v>
      </c>
      <c r="D28" s="200">
        <v>1.5</v>
      </c>
      <c r="E28" s="204">
        <v>11.6</v>
      </c>
    </row>
    <row r="29" spans="1:5" ht="16.5" customHeight="1" x14ac:dyDescent="0.3">
      <c r="A29" s="17">
        <v>6</v>
      </c>
      <c r="B29" s="21">
        <v>14611968</v>
      </c>
      <c r="C29" s="21">
        <v>9360.6</v>
      </c>
      <c r="D29" s="200">
        <v>1.5</v>
      </c>
      <c r="E29" s="205">
        <v>11.5</v>
      </c>
    </row>
    <row r="30" spans="1:5" ht="16.5" customHeight="1" x14ac:dyDescent="0.3">
      <c r="A30" s="23" t="s">
        <v>17</v>
      </c>
      <c r="B30" s="24">
        <f>AVERAGE(B24:B29)</f>
        <v>14604297.666666666</v>
      </c>
      <c r="C30" s="25">
        <f>AVERAGE(C24:C29)</f>
        <v>9385.4166666666661</v>
      </c>
      <c r="D30" s="26">
        <f>AVERAGE(D24:D29)</f>
        <v>1.5</v>
      </c>
      <c r="E30" s="202">
        <f>AVERAGE(E24:E29)</f>
        <v>11.583333333333334</v>
      </c>
    </row>
    <row r="31" spans="1:5" ht="16.5" customHeight="1" x14ac:dyDescent="0.3">
      <c r="A31" s="27" t="s">
        <v>18</v>
      </c>
      <c r="B31" s="28">
        <f>(STDEV(B24:B29)/B30)</f>
        <v>1.6252584942195447E-3</v>
      </c>
      <c r="C31" s="29"/>
      <c r="D31" s="29"/>
      <c r="E31" s="30"/>
    </row>
    <row r="32" spans="1:5" s="4" customFormat="1" ht="16.5" customHeight="1" x14ac:dyDescent="0.3">
      <c r="A32" s="31" t="s">
        <v>19</v>
      </c>
      <c r="B32" s="32">
        <f>COUNT(B24:B29)</f>
        <v>6</v>
      </c>
      <c r="C32" s="33"/>
      <c r="D32" s="34"/>
      <c r="E32" s="35"/>
    </row>
    <row r="33" spans="1:5" s="4" customFormat="1" ht="15.75" customHeight="1" x14ac:dyDescent="0.25">
      <c r="A33" s="36"/>
      <c r="B33" s="36"/>
      <c r="C33" s="36"/>
      <c r="D33" s="36"/>
      <c r="E33" s="36"/>
    </row>
    <row r="34" spans="1:5" s="4" customFormat="1" ht="16.5" customHeight="1" x14ac:dyDescent="0.3">
      <c r="A34" s="11" t="s">
        <v>20</v>
      </c>
      <c r="B34" s="40" t="s">
        <v>21</v>
      </c>
      <c r="C34" s="39"/>
      <c r="D34" s="39"/>
      <c r="E34" s="39"/>
    </row>
    <row r="35" spans="1:5" ht="16.5" customHeight="1" x14ac:dyDescent="0.3">
      <c r="A35" s="11"/>
      <c r="B35" s="40" t="s">
        <v>22</v>
      </c>
      <c r="C35" s="39"/>
      <c r="D35" s="39"/>
      <c r="E35" s="39"/>
    </row>
    <row r="36" spans="1:5" ht="16.5" customHeight="1" x14ac:dyDescent="0.3">
      <c r="A36" s="11"/>
      <c r="B36" s="40" t="s">
        <v>109</v>
      </c>
      <c r="C36" s="39"/>
      <c r="D36" s="39"/>
      <c r="E36" s="39"/>
    </row>
    <row r="37" spans="1:5" ht="15.75" customHeight="1" x14ac:dyDescent="0.25">
      <c r="A37" s="36"/>
      <c r="B37" s="36"/>
      <c r="C37" s="36"/>
      <c r="D37" s="36"/>
      <c r="E37" s="36"/>
    </row>
    <row r="38" spans="1:5" ht="16.5" customHeight="1" x14ac:dyDescent="0.3">
      <c r="A38" s="5" t="s">
        <v>1</v>
      </c>
      <c r="B38" s="6" t="s">
        <v>24</v>
      </c>
    </row>
    <row r="39" spans="1:5" ht="16.5" customHeight="1" x14ac:dyDescent="0.3">
      <c r="A39" s="11" t="s">
        <v>4</v>
      </c>
      <c r="B39" s="8"/>
      <c r="C39" s="36"/>
      <c r="D39" s="36"/>
      <c r="E39" s="36"/>
    </row>
    <row r="40" spans="1:5" ht="16.5" customHeight="1" x14ac:dyDescent="0.3">
      <c r="A40" s="11" t="s">
        <v>6</v>
      </c>
      <c r="B40" s="12"/>
      <c r="C40" s="36"/>
      <c r="D40" s="36"/>
      <c r="E40" s="36"/>
    </row>
    <row r="41" spans="1:5" ht="16.5" customHeight="1" x14ac:dyDescent="0.3">
      <c r="A41" s="8" t="s">
        <v>8</v>
      </c>
      <c r="B41" s="12"/>
      <c r="C41" s="36"/>
      <c r="D41" s="36"/>
      <c r="E41" s="36"/>
    </row>
    <row r="42" spans="1:5" ht="16.5" customHeight="1" x14ac:dyDescent="0.3">
      <c r="A42" s="8" t="s">
        <v>10</v>
      </c>
      <c r="B42" s="13"/>
      <c r="C42" s="36"/>
      <c r="D42" s="36"/>
      <c r="E42" s="36"/>
    </row>
    <row r="43" spans="1:5" ht="15.75" customHeight="1" x14ac:dyDescent="0.25">
      <c r="A43" s="36"/>
      <c r="B43" s="36"/>
      <c r="C43" s="36"/>
      <c r="D43" s="36"/>
      <c r="E43" s="36"/>
    </row>
    <row r="44" spans="1:5" ht="16.5" customHeight="1" x14ac:dyDescent="0.3">
      <c r="A44" s="16" t="s">
        <v>12</v>
      </c>
      <c r="B44" s="15" t="s">
        <v>13</v>
      </c>
      <c r="C44" s="16" t="s">
        <v>14</v>
      </c>
      <c r="D44" s="16" t="s">
        <v>15</v>
      </c>
      <c r="E44" s="16" t="s">
        <v>16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</row>
    <row r="53" spans="1:7" s="4" customFormat="1" ht="16.5" customHeight="1" x14ac:dyDescent="0.3">
      <c r="A53" s="31" t="s">
        <v>19</v>
      </c>
      <c r="B53" s="32">
        <f>COUNT(B45:B50)</f>
        <v>0</v>
      </c>
      <c r="C53" s="33"/>
      <c r="D53" s="34"/>
      <c r="E53" s="35"/>
    </row>
    <row r="54" spans="1:7" s="4" customFormat="1" ht="15.75" customHeight="1" x14ac:dyDescent="0.25">
      <c r="A54" s="36"/>
      <c r="B54" s="36"/>
      <c r="C54" s="36"/>
      <c r="D54" s="36"/>
      <c r="E54" s="36"/>
    </row>
    <row r="55" spans="1:7" s="4" customFormat="1" ht="16.5" customHeight="1" x14ac:dyDescent="0.3">
      <c r="A55" s="11" t="s">
        <v>20</v>
      </c>
      <c r="B55" s="40" t="s">
        <v>21</v>
      </c>
      <c r="C55" s="39"/>
      <c r="D55" s="39"/>
      <c r="E55" s="39"/>
    </row>
    <row r="56" spans="1:7" ht="16.5" customHeight="1" x14ac:dyDescent="0.3">
      <c r="A56" s="11"/>
      <c r="B56" s="40" t="s">
        <v>22</v>
      </c>
      <c r="C56" s="39"/>
      <c r="D56" s="39"/>
      <c r="E56" s="39"/>
    </row>
    <row r="57" spans="1:7" ht="16.5" customHeight="1" x14ac:dyDescent="0.3">
      <c r="A57" s="11"/>
      <c r="B57" s="40" t="s">
        <v>23</v>
      </c>
      <c r="C57" s="39"/>
      <c r="D57" s="39"/>
      <c r="E57" s="39"/>
    </row>
    <row r="58" spans="1:7" ht="14.25" customHeight="1" thickBot="1" x14ac:dyDescent="0.3">
      <c r="A58" s="41"/>
      <c r="B58" s="42"/>
      <c r="D58" s="43"/>
      <c r="F58" s="44"/>
      <c r="G58" s="44"/>
    </row>
    <row r="59" spans="1:7" ht="15" customHeight="1" x14ac:dyDescent="0.3">
      <c r="B59" s="168" t="s">
        <v>25</v>
      </c>
      <c r="C59" s="168"/>
      <c r="E59" s="162" t="s">
        <v>26</v>
      </c>
      <c r="F59" s="46"/>
      <c r="G59" s="162" t="s">
        <v>27</v>
      </c>
    </row>
    <row r="60" spans="1:7" ht="15" customHeight="1" x14ac:dyDescent="0.3">
      <c r="A60" s="47" t="s">
        <v>28</v>
      </c>
      <c r="B60" s="49" t="s">
        <v>101</v>
      </c>
      <c r="C60" s="49"/>
      <c r="E60" s="49" t="s">
        <v>106</v>
      </c>
      <c r="G60" s="49"/>
    </row>
    <row r="61" spans="1:7" ht="15" customHeight="1" x14ac:dyDescent="0.3">
      <c r="A61" s="47" t="s">
        <v>29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5" workbookViewId="0">
      <selection activeCell="B21" sqref="B2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167" t="s">
        <v>0</v>
      </c>
      <c r="B15" s="167"/>
      <c r="C15" s="167"/>
      <c r="D15" s="167"/>
      <c r="E15" s="167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36"/>
    </row>
    <row r="18" spans="1:5" ht="16.5" customHeight="1" x14ac:dyDescent="0.3">
      <c r="A18" s="11" t="s">
        <v>4</v>
      </c>
      <c r="B18" s="4" t="s">
        <v>102</v>
      </c>
      <c r="C18" s="36"/>
      <c r="D18" s="36"/>
      <c r="E18" s="36"/>
    </row>
    <row r="19" spans="1:5" ht="16.5" customHeight="1" x14ac:dyDescent="0.3">
      <c r="A19" s="11" t="s">
        <v>6</v>
      </c>
      <c r="B19" s="12">
        <v>50.1</v>
      </c>
      <c r="C19" s="36"/>
      <c r="D19" s="36"/>
      <c r="E19" s="36"/>
    </row>
    <row r="20" spans="1:5" ht="16.5" customHeight="1" x14ac:dyDescent="0.3">
      <c r="A20" s="8" t="s">
        <v>8</v>
      </c>
      <c r="B20" s="12">
        <f>'Benzalkonium Cl'!D43</f>
        <v>23.32</v>
      </c>
      <c r="C20" s="36"/>
      <c r="D20" s="36"/>
      <c r="E20" s="36"/>
    </row>
    <row r="21" spans="1:5" ht="16.5" customHeight="1" x14ac:dyDescent="0.3">
      <c r="A21" s="8" t="s">
        <v>10</v>
      </c>
      <c r="B21" s="13">
        <f>B20/'Benzalkonium Cl'!B45</f>
        <v>9.3280000000000002E-2</v>
      </c>
      <c r="C21" s="36"/>
      <c r="D21" s="36"/>
      <c r="E21" s="36"/>
    </row>
    <row r="22" spans="1:5" ht="15.75" customHeight="1" x14ac:dyDescent="0.25">
      <c r="A22" s="36"/>
      <c r="B22" s="161">
        <v>42447</v>
      </c>
      <c r="C22" s="36"/>
      <c r="D22" s="36"/>
      <c r="E22" s="36"/>
    </row>
    <row r="23" spans="1:5" ht="16.5" customHeight="1" x14ac:dyDescent="0.3">
      <c r="A23" s="16" t="s">
        <v>12</v>
      </c>
      <c r="B23" s="15" t="s">
        <v>13</v>
      </c>
      <c r="C23" s="16" t="s">
        <v>14</v>
      </c>
      <c r="D23" s="16" t="s">
        <v>15</v>
      </c>
      <c r="E23" s="201" t="s">
        <v>16</v>
      </c>
    </row>
    <row r="24" spans="1:5" ht="16.5" customHeight="1" x14ac:dyDescent="0.3">
      <c r="A24" s="17">
        <v>1</v>
      </c>
      <c r="B24" s="18">
        <v>5814279</v>
      </c>
      <c r="C24" s="18">
        <v>12573.1</v>
      </c>
      <c r="D24" s="200">
        <v>1.4</v>
      </c>
      <c r="E24" s="203">
        <v>29.4</v>
      </c>
    </row>
    <row r="25" spans="1:5" ht="16.5" customHeight="1" x14ac:dyDescent="0.3">
      <c r="A25" s="17">
        <v>2</v>
      </c>
      <c r="B25" s="18">
        <v>5758080</v>
      </c>
      <c r="C25" s="18">
        <v>12657.7</v>
      </c>
      <c r="D25" s="200">
        <v>1.4</v>
      </c>
      <c r="E25" s="204">
        <v>29.4</v>
      </c>
    </row>
    <row r="26" spans="1:5" ht="16.5" customHeight="1" x14ac:dyDescent="0.3">
      <c r="A26" s="17">
        <v>3</v>
      </c>
      <c r="B26" s="18">
        <v>5723635</v>
      </c>
      <c r="C26" s="18">
        <v>12711.9</v>
      </c>
      <c r="D26" s="200">
        <v>1.4</v>
      </c>
      <c r="E26" s="204">
        <v>29.4</v>
      </c>
    </row>
    <row r="27" spans="1:5" ht="16.5" customHeight="1" x14ac:dyDescent="0.3">
      <c r="A27" s="17">
        <v>4</v>
      </c>
      <c r="B27" s="18">
        <v>5706834</v>
      </c>
      <c r="C27" s="18">
        <v>12699</v>
      </c>
      <c r="D27" s="200">
        <v>1.4</v>
      </c>
      <c r="E27" s="204">
        <v>29.4</v>
      </c>
    </row>
    <row r="28" spans="1:5" ht="16.5" customHeight="1" x14ac:dyDescent="0.3">
      <c r="A28" s="17">
        <v>5</v>
      </c>
      <c r="B28" s="18">
        <v>5669820</v>
      </c>
      <c r="C28" s="18">
        <v>12659.6</v>
      </c>
      <c r="D28" s="200">
        <v>1.4</v>
      </c>
      <c r="E28" s="204">
        <v>29.4</v>
      </c>
    </row>
    <row r="29" spans="1:5" ht="16.5" customHeight="1" x14ac:dyDescent="0.3">
      <c r="A29" s="17">
        <v>6</v>
      </c>
      <c r="B29" s="21">
        <v>5649414</v>
      </c>
      <c r="C29" s="21">
        <v>12658.3</v>
      </c>
      <c r="D29" s="200">
        <v>1.4</v>
      </c>
      <c r="E29" s="205">
        <v>29.4</v>
      </c>
    </row>
    <row r="30" spans="1:5" ht="16.5" customHeight="1" x14ac:dyDescent="0.3">
      <c r="A30" s="23" t="s">
        <v>17</v>
      </c>
      <c r="B30" s="24">
        <f>AVERAGE(B24:B29)</f>
        <v>5720343.666666667</v>
      </c>
      <c r="C30" s="25">
        <f>AVERAGE(C24:C29)</f>
        <v>12659.933333333334</v>
      </c>
      <c r="D30" s="26">
        <f>AVERAGE(D24:D29)</f>
        <v>1.4000000000000001</v>
      </c>
      <c r="E30" s="202">
        <f>AVERAGE(E24:E29)</f>
        <v>29.400000000000002</v>
      </c>
    </row>
    <row r="31" spans="1:5" ht="16.5" customHeight="1" x14ac:dyDescent="0.3">
      <c r="A31" s="27" t="s">
        <v>18</v>
      </c>
      <c r="B31" s="28">
        <f>(STDEV(B24:B29)/B30)</f>
        <v>1.049612683111094E-2</v>
      </c>
      <c r="C31" s="29"/>
      <c r="D31" s="29"/>
      <c r="E31" s="30"/>
    </row>
    <row r="32" spans="1:5" s="4" customFormat="1" ht="16.5" customHeight="1" x14ac:dyDescent="0.3">
      <c r="A32" s="31" t="s">
        <v>19</v>
      </c>
      <c r="B32" s="32">
        <f>COUNT(B24:B29)</f>
        <v>6</v>
      </c>
      <c r="C32" s="33"/>
      <c r="D32" s="34"/>
      <c r="E32" s="35"/>
    </row>
    <row r="33" spans="1:5" s="4" customFormat="1" ht="15.75" customHeight="1" x14ac:dyDescent="0.25">
      <c r="A33" s="36"/>
      <c r="B33" s="36"/>
      <c r="C33" s="36"/>
      <c r="D33" s="36"/>
      <c r="E33" s="36"/>
    </row>
    <row r="34" spans="1:5" s="4" customFormat="1" ht="16.5" customHeight="1" x14ac:dyDescent="0.3">
      <c r="A34" s="11" t="s">
        <v>20</v>
      </c>
      <c r="B34" s="40" t="s">
        <v>21</v>
      </c>
      <c r="C34" s="39"/>
      <c r="D34" s="39"/>
      <c r="E34" s="39"/>
    </row>
    <row r="35" spans="1:5" ht="16.5" customHeight="1" x14ac:dyDescent="0.3">
      <c r="A35" s="11"/>
      <c r="B35" s="40" t="s">
        <v>22</v>
      </c>
      <c r="C35" s="39"/>
      <c r="D35" s="39"/>
      <c r="E35" s="39"/>
    </row>
    <row r="36" spans="1:5" ht="16.5" customHeight="1" x14ac:dyDescent="0.3">
      <c r="A36" s="11"/>
      <c r="B36" s="40" t="s">
        <v>109</v>
      </c>
      <c r="C36" s="39"/>
      <c r="D36" s="39"/>
      <c r="E36" s="39"/>
    </row>
    <row r="37" spans="1:5" ht="15.75" customHeight="1" x14ac:dyDescent="0.25">
      <c r="A37" s="36"/>
      <c r="B37" s="36"/>
      <c r="C37" s="36"/>
      <c r="D37" s="36"/>
      <c r="E37" s="36"/>
    </row>
    <row r="38" spans="1:5" ht="16.5" customHeight="1" x14ac:dyDescent="0.3">
      <c r="A38" s="5" t="s">
        <v>1</v>
      </c>
      <c r="B38" s="6" t="s">
        <v>24</v>
      </c>
    </row>
    <row r="39" spans="1:5" ht="16.5" customHeight="1" x14ac:dyDescent="0.3">
      <c r="A39" s="11" t="s">
        <v>4</v>
      </c>
      <c r="B39" s="8"/>
      <c r="C39" s="36"/>
      <c r="D39" s="36"/>
      <c r="E39" s="36"/>
    </row>
    <row r="40" spans="1:5" ht="16.5" customHeight="1" x14ac:dyDescent="0.3">
      <c r="A40" s="11" t="s">
        <v>6</v>
      </c>
      <c r="B40" s="12"/>
      <c r="C40" s="36"/>
      <c r="D40" s="36"/>
      <c r="E40" s="36"/>
    </row>
    <row r="41" spans="1:5" ht="16.5" customHeight="1" x14ac:dyDescent="0.3">
      <c r="A41" s="8" t="s">
        <v>8</v>
      </c>
      <c r="B41" s="12"/>
      <c r="C41" s="36"/>
      <c r="D41" s="36"/>
      <c r="E41" s="36"/>
    </row>
    <row r="42" spans="1:5" ht="16.5" customHeight="1" x14ac:dyDescent="0.3">
      <c r="A42" s="8" t="s">
        <v>10</v>
      </c>
      <c r="B42" s="13"/>
      <c r="C42" s="36"/>
      <c r="D42" s="36"/>
      <c r="E42" s="36"/>
    </row>
    <row r="43" spans="1:5" ht="15.75" customHeight="1" x14ac:dyDescent="0.25">
      <c r="A43" s="36"/>
      <c r="B43" s="36"/>
      <c r="C43" s="36"/>
      <c r="D43" s="36"/>
      <c r="E43" s="36"/>
    </row>
    <row r="44" spans="1:5" ht="16.5" customHeight="1" x14ac:dyDescent="0.3">
      <c r="A44" s="16" t="s">
        <v>12</v>
      </c>
      <c r="B44" s="15" t="s">
        <v>13</v>
      </c>
      <c r="C44" s="16" t="s">
        <v>14</v>
      </c>
      <c r="D44" s="16" t="s">
        <v>15</v>
      </c>
      <c r="E44" s="16" t="s">
        <v>16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</row>
    <row r="53" spans="1:7" s="4" customFormat="1" ht="16.5" customHeight="1" x14ac:dyDescent="0.3">
      <c r="A53" s="31" t="s">
        <v>19</v>
      </c>
      <c r="B53" s="32">
        <f>COUNT(B45:B50)</f>
        <v>0</v>
      </c>
      <c r="C53" s="33"/>
      <c r="D53" s="34"/>
      <c r="E53" s="35"/>
    </row>
    <row r="54" spans="1:7" s="4" customFormat="1" ht="15.75" customHeight="1" x14ac:dyDescent="0.25">
      <c r="A54" s="36"/>
      <c r="B54" s="36"/>
      <c r="C54" s="36"/>
      <c r="D54" s="36"/>
      <c r="E54" s="36"/>
    </row>
    <row r="55" spans="1:7" s="4" customFormat="1" ht="16.5" customHeight="1" x14ac:dyDescent="0.3">
      <c r="A55" s="11" t="s">
        <v>20</v>
      </c>
      <c r="B55" s="40" t="s">
        <v>21</v>
      </c>
      <c r="C55" s="39"/>
      <c r="D55" s="39"/>
      <c r="E55" s="39"/>
    </row>
    <row r="56" spans="1:7" ht="16.5" customHeight="1" x14ac:dyDescent="0.3">
      <c r="A56" s="11"/>
      <c r="B56" s="40" t="s">
        <v>22</v>
      </c>
      <c r="C56" s="39"/>
      <c r="D56" s="39"/>
      <c r="E56" s="39"/>
    </row>
    <row r="57" spans="1:7" ht="16.5" customHeight="1" x14ac:dyDescent="0.3">
      <c r="A57" s="11"/>
      <c r="B57" s="40" t="s">
        <v>23</v>
      </c>
      <c r="C57" s="39"/>
      <c r="D57" s="39"/>
      <c r="E57" s="39"/>
    </row>
    <row r="58" spans="1:7" ht="14.25" customHeight="1" thickBot="1" x14ac:dyDescent="0.3">
      <c r="A58" s="41"/>
      <c r="B58" s="42"/>
      <c r="D58" s="43"/>
      <c r="F58" s="44"/>
      <c r="G58" s="44"/>
    </row>
    <row r="59" spans="1:7" ht="15" customHeight="1" x14ac:dyDescent="0.3">
      <c r="B59" s="168" t="s">
        <v>25</v>
      </c>
      <c r="C59" s="168"/>
      <c r="E59" s="165" t="s">
        <v>26</v>
      </c>
      <c r="F59" s="46"/>
      <c r="G59" s="165" t="s">
        <v>27</v>
      </c>
    </row>
    <row r="60" spans="1:7" ht="15" customHeight="1" x14ac:dyDescent="0.3">
      <c r="A60" s="47" t="s">
        <v>28</v>
      </c>
      <c r="B60" s="49" t="s">
        <v>101</v>
      </c>
      <c r="C60" s="49"/>
      <c r="E60" s="49" t="s">
        <v>106</v>
      </c>
      <c r="G60" s="49"/>
    </row>
    <row r="61" spans="1:7" ht="15" customHeight="1" x14ac:dyDescent="0.3">
      <c r="A61" s="47" t="s">
        <v>29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topLeftCell="A33" zoomScale="60" zoomScaleNormal="55" workbookViewId="0">
      <selection activeCell="F73" sqref="F73"/>
    </sheetView>
  </sheetViews>
  <sheetFormatPr defaultRowHeight="12.75" x14ac:dyDescent="0.2"/>
  <cols>
    <col min="1" max="1" width="58.5703125" style="44" customWidth="1"/>
    <col min="2" max="2" width="34.28515625" style="44" customWidth="1"/>
    <col min="3" max="3" width="43.140625" style="44" customWidth="1"/>
    <col min="4" max="4" width="23.140625" style="44" customWidth="1"/>
    <col min="5" max="5" width="34.85546875" style="44" customWidth="1"/>
    <col min="6" max="6" width="21.5703125" style="44" customWidth="1"/>
    <col min="7" max="7" width="36.85546875" style="44" customWidth="1"/>
    <col min="8" max="8" width="23.85546875" style="44" customWidth="1"/>
    <col min="9" max="16384" width="9.140625" style="44"/>
  </cols>
  <sheetData>
    <row r="1" spans="1:8" x14ac:dyDescent="0.2">
      <c r="A1" s="185" t="s">
        <v>30</v>
      </c>
      <c r="B1" s="185"/>
      <c r="C1" s="185"/>
      <c r="D1" s="185"/>
      <c r="E1" s="185"/>
      <c r="F1" s="185"/>
      <c r="G1" s="185"/>
      <c r="H1" s="185"/>
    </row>
    <row r="2" spans="1:8" x14ac:dyDescent="0.2">
      <c r="A2" s="185"/>
      <c r="B2" s="185"/>
      <c r="C2" s="185"/>
      <c r="D2" s="185"/>
      <c r="E2" s="185"/>
      <c r="F2" s="185"/>
      <c r="G2" s="185"/>
      <c r="H2" s="185"/>
    </row>
    <row r="3" spans="1:8" x14ac:dyDescent="0.2">
      <c r="A3" s="185"/>
      <c r="B3" s="185"/>
      <c r="C3" s="185"/>
      <c r="D3" s="185"/>
      <c r="E3" s="185"/>
      <c r="F3" s="185"/>
      <c r="G3" s="185"/>
      <c r="H3" s="185"/>
    </row>
    <row r="4" spans="1:8" x14ac:dyDescent="0.2">
      <c r="A4" s="185"/>
      <c r="B4" s="185"/>
      <c r="C4" s="185"/>
      <c r="D4" s="185"/>
      <c r="E4" s="185"/>
      <c r="F4" s="185"/>
      <c r="G4" s="185"/>
      <c r="H4" s="185"/>
    </row>
    <row r="5" spans="1:8" x14ac:dyDescent="0.2">
      <c r="A5" s="185"/>
      <c r="B5" s="185"/>
      <c r="C5" s="185"/>
      <c r="D5" s="185"/>
      <c r="E5" s="185"/>
      <c r="F5" s="185"/>
      <c r="G5" s="185"/>
      <c r="H5" s="185"/>
    </row>
    <row r="6" spans="1:8" x14ac:dyDescent="0.2">
      <c r="A6" s="185"/>
      <c r="B6" s="185"/>
      <c r="C6" s="185"/>
      <c r="D6" s="185"/>
      <c r="E6" s="185"/>
      <c r="F6" s="185"/>
      <c r="G6" s="185"/>
      <c r="H6" s="185"/>
    </row>
    <row r="7" spans="1:8" x14ac:dyDescent="0.2">
      <c r="A7" s="185"/>
      <c r="B7" s="185"/>
      <c r="C7" s="185"/>
      <c r="D7" s="185"/>
      <c r="E7" s="185"/>
      <c r="F7" s="185"/>
      <c r="G7" s="185"/>
      <c r="H7" s="185"/>
    </row>
    <row r="8" spans="1:8" x14ac:dyDescent="0.2">
      <c r="A8" s="186" t="s">
        <v>31</v>
      </c>
      <c r="B8" s="186"/>
      <c r="C8" s="186"/>
      <c r="D8" s="186"/>
      <c r="E8" s="186"/>
      <c r="F8" s="186"/>
      <c r="G8" s="186"/>
      <c r="H8" s="186"/>
    </row>
    <row r="9" spans="1:8" x14ac:dyDescent="0.2">
      <c r="A9" s="186"/>
      <c r="B9" s="186"/>
      <c r="C9" s="186"/>
      <c r="D9" s="186"/>
      <c r="E9" s="186"/>
      <c r="F9" s="186"/>
      <c r="G9" s="186"/>
      <c r="H9" s="186"/>
    </row>
    <row r="10" spans="1:8" x14ac:dyDescent="0.2">
      <c r="A10" s="186"/>
      <c r="B10" s="186"/>
      <c r="C10" s="186"/>
      <c r="D10" s="186"/>
      <c r="E10" s="186"/>
      <c r="F10" s="186"/>
      <c r="G10" s="186"/>
      <c r="H10" s="186"/>
    </row>
    <row r="11" spans="1:8" x14ac:dyDescent="0.2">
      <c r="A11" s="186"/>
      <c r="B11" s="186"/>
      <c r="C11" s="186"/>
      <c r="D11" s="186"/>
      <c r="E11" s="186"/>
      <c r="F11" s="186"/>
      <c r="G11" s="186"/>
      <c r="H11" s="186"/>
    </row>
    <row r="12" spans="1:8" x14ac:dyDescent="0.2">
      <c r="A12" s="186"/>
      <c r="B12" s="186"/>
      <c r="C12" s="186"/>
      <c r="D12" s="186"/>
      <c r="E12" s="186"/>
      <c r="F12" s="186"/>
      <c r="G12" s="186"/>
      <c r="H12" s="186"/>
    </row>
    <row r="13" spans="1:8" x14ac:dyDescent="0.2">
      <c r="A13" s="186"/>
      <c r="B13" s="186"/>
      <c r="C13" s="186"/>
      <c r="D13" s="186"/>
      <c r="E13" s="186"/>
      <c r="F13" s="186"/>
      <c r="G13" s="186"/>
      <c r="H13" s="186"/>
    </row>
    <row r="14" spans="1:8" x14ac:dyDescent="0.2">
      <c r="A14" s="186"/>
      <c r="B14" s="186"/>
      <c r="C14" s="186"/>
      <c r="D14" s="186"/>
      <c r="E14" s="186"/>
      <c r="F14" s="186"/>
      <c r="G14" s="186"/>
      <c r="H14" s="186"/>
    </row>
    <row r="15" spans="1:8" ht="19.5" customHeight="1" thickBot="1" x14ac:dyDescent="0.35">
      <c r="A15" s="150"/>
      <c r="B15" s="150"/>
      <c r="C15" s="150"/>
      <c r="D15" s="150"/>
      <c r="E15" s="150"/>
      <c r="F15" s="150"/>
      <c r="G15" s="150"/>
      <c r="H15" s="150"/>
    </row>
    <row r="16" spans="1:8" ht="19.5" customHeight="1" thickBot="1" x14ac:dyDescent="0.35">
      <c r="A16" s="189" t="s">
        <v>32</v>
      </c>
      <c r="B16" s="190"/>
      <c r="C16" s="190"/>
      <c r="D16" s="190"/>
      <c r="E16" s="190"/>
      <c r="F16" s="190"/>
      <c r="G16" s="190"/>
      <c r="H16" s="191"/>
    </row>
    <row r="17" spans="1:8" ht="18.75" customHeight="1" x14ac:dyDescent="0.3">
      <c r="A17" s="53" t="s">
        <v>33</v>
      </c>
      <c r="B17" s="53"/>
      <c r="C17" s="150"/>
      <c r="D17" s="150"/>
      <c r="E17" s="150"/>
      <c r="F17" s="150"/>
      <c r="G17" s="150"/>
      <c r="H17" s="150"/>
    </row>
    <row r="18" spans="1:8" ht="26.25" customHeight="1" x14ac:dyDescent="0.4">
      <c r="A18" s="54" t="s">
        <v>34</v>
      </c>
      <c r="B18" s="192" t="s">
        <v>5</v>
      </c>
      <c r="C18" s="192"/>
      <c r="D18" s="192"/>
      <c r="E18" s="192"/>
      <c r="F18" s="150"/>
      <c r="G18" s="150"/>
      <c r="H18" s="150"/>
    </row>
    <row r="19" spans="1:8" ht="26.25" customHeight="1" x14ac:dyDescent="0.4">
      <c r="A19" s="54" t="s">
        <v>35</v>
      </c>
      <c r="B19" s="163" t="s">
        <v>7</v>
      </c>
      <c r="C19" s="160">
        <v>6</v>
      </c>
      <c r="D19" s="116"/>
      <c r="E19" s="116"/>
      <c r="F19" s="150"/>
      <c r="G19" s="150"/>
      <c r="H19" s="150"/>
    </row>
    <row r="20" spans="1:8" ht="26.25" customHeight="1" x14ac:dyDescent="0.4">
      <c r="A20" s="54" t="s">
        <v>36</v>
      </c>
      <c r="B20" s="163" t="s">
        <v>102</v>
      </c>
      <c r="C20" s="116"/>
      <c r="D20" s="116"/>
      <c r="E20" s="116"/>
      <c r="F20" s="150"/>
      <c r="G20" s="150"/>
      <c r="H20" s="150"/>
    </row>
    <row r="21" spans="1:8" ht="26.25" customHeight="1" x14ac:dyDescent="0.4">
      <c r="A21" s="54" t="s">
        <v>37</v>
      </c>
      <c r="B21" s="193" t="s">
        <v>105</v>
      </c>
      <c r="C21" s="193"/>
      <c r="D21" s="193"/>
      <c r="E21" s="193"/>
      <c r="F21" s="193"/>
      <c r="G21" s="193"/>
      <c r="H21" s="193"/>
    </row>
    <row r="22" spans="1:8" ht="26.25" customHeight="1" x14ac:dyDescent="0.4">
      <c r="A22" s="54" t="s">
        <v>38</v>
      </c>
      <c r="B22" s="57">
        <v>42447</v>
      </c>
      <c r="C22" s="116"/>
      <c r="D22" s="116"/>
      <c r="E22" s="116"/>
      <c r="F22" s="150"/>
      <c r="G22" s="150"/>
      <c r="H22" s="150"/>
    </row>
    <row r="23" spans="1:8" ht="26.25" customHeight="1" x14ac:dyDescent="0.4">
      <c r="A23" s="54" t="s">
        <v>39</v>
      </c>
      <c r="B23" s="57">
        <v>42450</v>
      </c>
      <c r="C23" s="116"/>
      <c r="D23" s="116"/>
      <c r="E23" s="116"/>
      <c r="F23" s="150"/>
      <c r="G23" s="150"/>
      <c r="H23" s="150"/>
    </row>
    <row r="24" spans="1:8" ht="18.75" customHeight="1" x14ac:dyDescent="0.3">
      <c r="A24" s="54"/>
      <c r="B24" s="58"/>
      <c r="C24" s="150"/>
      <c r="D24" s="150"/>
      <c r="E24" s="150"/>
      <c r="F24" s="150"/>
      <c r="G24" s="150"/>
      <c r="H24" s="150"/>
    </row>
    <row r="25" spans="1:8" ht="18.75" customHeight="1" x14ac:dyDescent="0.3">
      <c r="A25" s="59" t="s">
        <v>1</v>
      </c>
      <c r="B25" s="58"/>
      <c r="C25" s="150"/>
      <c r="D25" s="150"/>
      <c r="E25" s="150"/>
      <c r="F25" s="150"/>
      <c r="G25" s="150"/>
      <c r="H25" s="150"/>
    </row>
    <row r="26" spans="1:8" ht="26.25" customHeight="1" x14ac:dyDescent="0.4">
      <c r="A26" s="151" t="s">
        <v>4</v>
      </c>
      <c r="B26" s="192" t="s">
        <v>102</v>
      </c>
      <c r="C26" s="192"/>
      <c r="D26" s="150"/>
      <c r="E26" s="150"/>
      <c r="F26" s="150"/>
      <c r="G26" s="150"/>
      <c r="H26" s="150"/>
    </row>
    <row r="27" spans="1:8" ht="26.25" customHeight="1" x14ac:dyDescent="0.4">
      <c r="A27" s="144" t="s">
        <v>40</v>
      </c>
      <c r="B27" s="193" t="s">
        <v>104</v>
      </c>
      <c r="C27" s="193"/>
      <c r="D27" s="150"/>
      <c r="E27" s="150"/>
      <c r="F27" s="150"/>
      <c r="G27" s="150"/>
      <c r="H27" s="150"/>
    </row>
    <row r="28" spans="1:8" ht="27" customHeight="1" thickBot="1" x14ac:dyDescent="0.45">
      <c r="A28" s="144" t="s">
        <v>6</v>
      </c>
      <c r="B28" s="62">
        <v>50.1</v>
      </c>
      <c r="C28" s="150"/>
      <c r="D28" s="150"/>
      <c r="E28" s="150"/>
      <c r="F28" s="150"/>
      <c r="G28" s="150"/>
      <c r="H28" s="150"/>
    </row>
    <row r="29" spans="1:8" ht="27" customHeight="1" thickBot="1" x14ac:dyDescent="0.45">
      <c r="A29" s="144" t="s">
        <v>41</v>
      </c>
      <c r="B29" s="88">
        <v>0</v>
      </c>
      <c r="C29" s="194" t="s">
        <v>42</v>
      </c>
      <c r="D29" s="195"/>
      <c r="E29" s="195"/>
      <c r="F29" s="195"/>
      <c r="G29" s="196"/>
      <c r="H29" s="64"/>
    </row>
    <row r="30" spans="1:8" ht="19.5" customHeight="1" thickBot="1" x14ac:dyDescent="0.35">
      <c r="A30" s="144" t="s">
        <v>43</v>
      </c>
      <c r="B30" s="65">
        <f>B28-B29</f>
        <v>50.1</v>
      </c>
      <c r="C30" s="66"/>
      <c r="D30" s="66"/>
      <c r="E30" s="66"/>
      <c r="F30" s="66"/>
      <c r="G30" s="66"/>
      <c r="H30" s="64"/>
    </row>
    <row r="31" spans="1:8" ht="27" customHeight="1" thickBot="1" x14ac:dyDescent="0.45">
      <c r="A31" s="144" t="s">
        <v>44</v>
      </c>
      <c r="B31" s="67">
        <v>1</v>
      </c>
      <c r="C31" s="194" t="s">
        <v>45</v>
      </c>
      <c r="D31" s="195"/>
      <c r="E31" s="195"/>
      <c r="F31" s="195"/>
      <c r="G31" s="196"/>
      <c r="H31" s="68"/>
    </row>
    <row r="32" spans="1:8" ht="27" customHeight="1" thickBot="1" x14ac:dyDescent="0.45">
      <c r="A32" s="144" t="s">
        <v>46</v>
      </c>
      <c r="B32" s="67">
        <v>1</v>
      </c>
      <c r="C32" s="194" t="s">
        <v>47</v>
      </c>
      <c r="D32" s="195"/>
      <c r="E32" s="195"/>
      <c r="F32" s="195"/>
      <c r="G32" s="196"/>
      <c r="H32" s="68"/>
    </row>
    <row r="33" spans="1:8" ht="18.75" customHeight="1" x14ac:dyDescent="0.3">
      <c r="A33" s="144"/>
      <c r="B33" s="69"/>
      <c r="C33" s="70"/>
      <c r="D33" s="70"/>
      <c r="E33" s="70"/>
      <c r="F33" s="70"/>
      <c r="G33" s="70"/>
      <c r="H33" s="70"/>
    </row>
    <row r="34" spans="1:8" ht="18.75" customHeight="1" x14ac:dyDescent="0.3">
      <c r="A34" s="144" t="s">
        <v>48</v>
      </c>
      <c r="B34" s="71">
        <f>B31/B32</f>
        <v>1</v>
      </c>
      <c r="C34" s="150" t="s">
        <v>49</v>
      </c>
      <c r="D34" s="150"/>
      <c r="E34" s="150"/>
      <c r="F34" s="150"/>
      <c r="G34" s="150"/>
      <c r="H34" s="64"/>
    </row>
    <row r="35" spans="1:8" ht="19.5" customHeight="1" thickBot="1" x14ac:dyDescent="0.35">
      <c r="A35" s="144"/>
      <c r="B35" s="164"/>
      <c r="C35" s="64"/>
      <c r="D35" s="64"/>
      <c r="E35" s="64"/>
      <c r="F35" s="64"/>
      <c r="G35" s="150"/>
      <c r="H35" s="64"/>
    </row>
    <row r="36" spans="1:8" ht="27" customHeight="1" thickBot="1" x14ac:dyDescent="0.45">
      <c r="A36" s="73" t="s">
        <v>50</v>
      </c>
      <c r="B36" s="74">
        <v>25</v>
      </c>
      <c r="C36" s="150"/>
      <c r="D36" s="197" t="s">
        <v>51</v>
      </c>
      <c r="E36" s="198"/>
      <c r="F36" s="199" t="s">
        <v>52</v>
      </c>
      <c r="G36" s="198"/>
      <c r="H36" s="64"/>
    </row>
    <row r="37" spans="1:8" ht="26.25" customHeight="1" x14ac:dyDescent="0.4">
      <c r="A37" s="75" t="s">
        <v>53</v>
      </c>
      <c r="B37" s="76">
        <v>1</v>
      </c>
      <c r="C37" s="77" t="s">
        <v>54</v>
      </c>
      <c r="D37" s="78" t="s">
        <v>55</v>
      </c>
      <c r="E37" s="79" t="s">
        <v>56</v>
      </c>
      <c r="F37" s="80" t="s">
        <v>55</v>
      </c>
      <c r="G37" s="79" t="s">
        <v>56</v>
      </c>
      <c r="H37" s="64"/>
    </row>
    <row r="38" spans="1:8" ht="26.25" customHeight="1" x14ac:dyDescent="0.4">
      <c r="A38" s="75" t="s">
        <v>57</v>
      </c>
      <c r="B38" s="76">
        <v>10</v>
      </c>
      <c r="C38" s="81">
        <v>1</v>
      </c>
      <c r="D38" s="82">
        <f>14603535+5817613</f>
        <v>20421148</v>
      </c>
      <c r="E38" s="83">
        <f>IF(ISBLANK(D38),"-",$D$48/$D$45*D38)</f>
        <v>43697228.185139149</v>
      </c>
      <c r="F38" s="84">
        <f>16966303+6414320</f>
        <v>23380623</v>
      </c>
      <c r="G38" s="83">
        <f>IF(ISBLANK(F38),"-",$D$48/$F$45*F38)</f>
        <v>42487172.414093874</v>
      </c>
      <c r="H38" s="64"/>
    </row>
    <row r="39" spans="1:8" ht="26.25" customHeight="1" x14ac:dyDescent="0.4">
      <c r="A39" s="75" t="s">
        <v>58</v>
      </c>
      <c r="B39" s="76">
        <v>1</v>
      </c>
      <c r="C39" s="85">
        <v>2</v>
      </c>
      <c r="D39" s="86">
        <f>14580518+5483531</f>
        <v>20064049</v>
      </c>
      <c r="E39" s="87">
        <f>IF(ISBLANK(D39),"-",$D$48/$D$45*D39)</f>
        <v>42933106.771020561</v>
      </c>
      <c r="F39" s="88">
        <f>16985088+6341051</f>
        <v>23326139</v>
      </c>
      <c r="G39" s="87">
        <f>IF(ISBLANK(F39),"-",$D$48/$F$45*F39)</f>
        <v>42388164.312307641</v>
      </c>
      <c r="H39" s="64"/>
    </row>
    <row r="40" spans="1:8" ht="26.25" customHeight="1" x14ac:dyDescent="0.4">
      <c r="A40" s="75" t="s">
        <v>59</v>
      </c>
      <c r="B40" s="76">
        <v>1</v>
      </c>
      <c r="C40" s="85">
        <v>3</v>
      </c>
      <c r="D40" s="86">
        <f>14585488+5460456</f>
        <v>20045944</v>
      </c>
      <c r="E40" s="87">
        <f>IF(ISBLANK(D40),"-",$D$48/$D$45*D40)</f>
        <v>42894365.642642669</v>
      </c>
      <c r="F40" s="88">
        <f>16967327+6251222</f>
        <v>23218549</v>
      </c>
      <c r="G40" s="87">
        <f>IF(ISBLANK(F40),"-",$D$48/$F$45*F40)</f>
        <v>42192652.204694755</v>
      </c>
      <c r="H40" s="150"/>
    </row>
    <row r="41" spans="1:8" ht="26.25" customHeight="1" x14ac:dyDescent="0.4">
      <c r="A41" s="75" t="s">
        <v>60</v>
      </c>
      <c r="B41" s="76">
        <v>1</v>
      </c>
      <c r="C41" s="89">
        <v>4</v>
      </c>
      <c r="D41" s="90"/>
      <c r="E41" s="91" t="str">
        <f>IF(ISBLANK(D41),"-",$D$48/$D$45*D41)</f>
        <v>-</v>
      </c>
      <c r="F41" s="92"/>
      <c r="G41" s="91" t="str">
        <f>IF(ISBLANK(F41),"-",$D$48/$F$45*F41)</f>
        <v>-</v>
      </c>
      <c r="H41" s="150"/>
    </row>
    <row r="42" spans="1:8" ht="27" customHeight="1" thickBot="1" x14ac:dyDescent="0.45">
      <c r="A42" s="75" t="s">
        <v>61</v>
      </c>
      <c r="B42" s="76">
        <v>1</v>
      </c>
      <c r="C42" s="93" t="s">
        <v>62</v>
      </c>
      <c r="D42" s="94">
        <f>AVERAGE(D38:D41)</f>
        <v>20177047</v>
      </c>
      <c r="E42" s="95">
        <f>AVERAGE(E38:E41)</f>
        <v>43174900.199600793</v>
      </c>
      <c r="F42" s="96">
        <f>AVERAGE(F38:F41)</f>
        <v>23308437</v>
      </c>
      <c r="G42" s="95">
        <f>AVERAGE(G38:G41)</f>
        <v>42355996.310365416</v>
      </c>
      <c r="H42" s="150"/>
    </row>
    <row r="43" spans="1:8" ht="26.25" customHeight="1" x14ac:dyDescent="0.4">
      <c r="A43" s="75" t="s">
        <v>63</v>
      </c>
      <c r="B43" s="88">
        <v>1</v>
      </c>
      <c r="C43" s="97" t="s">
        <v>64</v>
      </c>
      <c r="D43" s="98">
        <v>23.32</v>
      </c>
      <c r="E43" s="150"/>
      <c r="F43" s="98">
        <v>27.46</v>
      </c>
      <c r="G43" s="150"/>
      <c r="H43" s="150"/>
    </row>
    <row r="44" spans="1:8" ht="26.25" customHeight="1" x14ac:dyDescent="0.4">
      <c r="A44" s="75" t="s">
        <v>65</v>
      </c>
      <c r="B44" s="88">
        <v>1</v>
      </c>
      <c r="C44" s="100" t="s">
        <v>66</v>
      </c>
      <c r="D44" s="101">
        <f>D43*$B$34</f>
        <v>23.32</v>
      </c>
      <c r="E44" s="135"/>
      <c r="F44" s="101">
        <f>F43*$B$34</f>
        <v>27.46</v>
      </c>
      <c r="G44" s="150"/>
      <c r="H44" s="150"/>
    </row>
    <row r="45" spans="1:8" ht="19.5" customHeight="1" thickBot="1" x14ac:dyDescent="0.35">
      <c r="A45" s="75" t="s">
        <v>67</v>
      </c>
      <c r="B45" s="135">
        <f>(B44/B43)*(B42/B41)*(B40/B39)*(B38/B37)*B36</f>
        <v>250</v>
      </c>
      <c r="C45" s="100" t="s">
        <v>68</v>
      </c>
      <c r="D45" s="103">
        <f>D44*$B$30/100</f>
        <v>11.683320000000002</v>
      </c>
      <c r="E45" s="140"/>
      <c r="F45" s="103">
        <f>F44*$B$30/100</f>
        <v>13.757460000000002</v>
      </c>
      <c r="G45" s="150"/>
      <c r="H45" s="150"/>
    </row>
    <row r="46" spans="1:8" ht="19.5" customHeight="1" thickBot="1" x14ac:dyDescent="0.35">
      <c r="A46" s="169" t="s">
        <v>69</v>
      </c>
      <c r="B46" s="187"/>
      <c r="C46" s="100" t="s">
        <v>70</v>
      </c>
      <c r="D46" s="101">
        <f>D45/$B$45</f>
        <v>4.6733280000000009E-2</v>
      </c>
      <c r="E46" s="140"/>
      <c r="F46" s="105">
        <f>F45/$B$45</f>
        <v>5.502984000000001E-2</v>
      </c>
      <c r="G46" s="150"/>
      <c r="H46" s="150"/>
    </row>
    <row r="47" spans="1:8" ht="27" customHeight="1" thickBot="1" x14ac:dyDescent="0.45">
      <c r="A47" s="171"/>
      <c r="B47" s="188"/>
      <c r="C47" s="100" t="s">
        <v>71</v>
      </c>
      <c r="D47" s="106">
        <v>0.1</v>
      </c>
      <c r="E47" s="150"/>
      <c r="F47" s="107"/>
      <c r="G47" s="150"/>
      <c r="H47" s="150"/>
    </row>
    <row r="48" spans="1:8" ht="18.75" customHeight="1" x14ac:dyDescent="0.3">
      <c r="A48" s="150"/>
      <c r="B48" s="150"/>
      <c r="C48" s="100" t="s">
        <v>72</v>
      </c>
      <c r="D48" s="103">
        <f>D47*$B$45</f>
        <v>25</v>
      </c>
      <c r="E48" s="150"/>
      <c r="F48" s="107"/>
      <c r="G48" s="150"/>
      <c r="H48" s="150"/>
    </row>
    <row r="49" spans="1:8" ht="19.5" customHeight="1" thickBot="1" x14ac:dyDescent="0.35">
      <c r="A49" s="150"/>
      <c r="B49" s="150"/>
      <c r="C49" s="108" t="s">
        <v>73</v>
      </c>
      <c r="D49" s="109">
        <f>D48/B34</f>
        <v>25</v>
      </c>
      <c r="E49" s="150"/>
      <c r="F49" s="110"/>
      <c r="G49" s="150"/>
      <c r="H49" s="150"/>
    </row>
    <row r="50" spans="1:8" ht="18.75" customHeight="1" x14ac:dyDescent="0.3">
      <c r="A50" s="150"/>
      <c r="B50" s="150"/>
      <c r="C50" s="111" t="s">
        <v>74</v>
      </c>
      <c r="D50" s="112">
        <f>AVERAGE(E38:E41,G38:G41)</f>
        <v>42765448.254983105</v>
      </c>
      <c r="E50" s="150"/>
      <c r="F50" s="110"/>
      <c r="G50" s="150"/>
      <c r="H50" s="150"/>
    </row>
    <row r="51" spans="1:8" ht="18.75" customHeight="1" x14ac:dyDescent="0.3">
      <c r="A51" s="150"/>
      <c r="B51" s="150"/>
      <c r="C51" s="100" t="s">
        <v>75</v>
      </c>
      <c r="D51" s="113">
        <f>STDEV(E38:E41,G38:G41)/D50</f>
        <v>1.263921641525762E-2</v>
      </c>
      <c r="E51" s="150"/>
      <c r="F51" s="110"/>
      <c r="G51" s="150"/>
      <c r="H51" s="150"/>
    </row>
    <row r="52" spans="1:8" ht="19.5" customHeight="1" thickBot="1" x14ac:dyDescent="0.35">
      <c r="A52" s="150"/>
      <c r="B52" s="150"/>
      <c r="C52" s="108" t="s">
        <v>19</v>
      </c>
      <c r="D52" s="114">
        <f>COUNT(E38:E41,G38:G41)</f>
        <v>6</v>
      </c>
      <c r="E52" s="150"/>
      <c r="F52" s="150"/>
      <c r="G52" s="150"/>
      <c r="H52" s="150"/>
    </row>
    <row r="53" spans="1:8" ht="18.75" customHeight="1" x14ac:dyDescent="0.3">
      <c r="A53" s="150"/>
      <c r="B53" s="150"/>
      <c r="C53" s="150"/>
      <c r="D53" s="150"/>
      <c r="E53" s="150"/>
      <c r="F53" s="150"/>
      <c r="G53" s="150"/>
      <c r="H53" s="150"/>
    </row>
    <row r="54" spans="1:8" ht="18.75" customHeight="1" x14ac:dyDescent="0.3">
      <c r="A54" s="53" t="s">
        <v>1</v>
      </c>
      <c r="B54" s="115" t="s">
        <v>76</v>
      </c>
      <c r="C54" s="150"/>
      <c r="D54" s="150"/>
      <c r="E54" s="150"/>
      <c r="F54" s="150"/>
      <c r="G54" s="150"/>
      <c r="H54" s="150"/>
    </row>
    <row r="55" spans="1:8" ht="18.75" customHeight="1" x14ac:dyDescent="0.3">
      <c r="A55" s="150" t="s">
        <v>77</v>
      </c>
      <c r="B55" s="116" t="str">
        <f>B21</f>
        <v>Benzalkonium Chloride BP 0.01%</v>
      </c>
      <c r="C55" s="150"/>
      <c r="D55" s="150"/>
      <c r="E55" s="150"/>
      <c r="F55" s="150"/>
      <c r="G55" s="150"/>
      <c r="H55" s="150"/>
    </row>
    <row r="56" spans="1:8" ht="26.25" customHeight="1" x14ac:dyDescent="0.4">
      <c r="A56" s="144" t="s">
        <v>78</v>
      </c>
      <c r="B56" s="117">
        <v>1</v>
      </c>
      <c r="C56" s="135" t="s">
        <v>79</v>
      </c>
      <c r="D56" s="166">
        <v>0.1</v>
      </c>
      <c r="E56" s="150" t="str">
        <f>B20</f>
        <v>Benzalkonium Chloride</v>
      </c>
      <c r="F56" s="150"/>
      <c r="G56" s="150"/>
      <c r="H56" s="135"/>
    </row>
    <row r="57" spans="1:8" ht="19.5" customHeight="1" thickBot="1" x14ac:dyDescent="0.35">
      <c r="A57" s="150"/>
      <c r="B57" s="150"/>
      <c r="C57" s="150"/>
      <c r="D57" s="150"/>
      <c r="E57" s="150"/>
      <c r="F57" s="150"/>
      <c r="G57" s="150"/>
      <c r="H57" s="135"/>
    </row>
    <row r="58" spans="1:8" ht="27" customHeight="1" thickBot="1" x14ac:dyDescent="0.45">
      <c r="A58" s="73" t="s">
        <v>80</v>
      </c>
      <c r="B58" s="74">
        <v>1</v>
      </c>
      <c r="C58" s="150"/>
      <c r="D58" s="119" t="s">
        <v>81</v>
      </c>
      <c r="E58" s="120" t="s">
        <v>54</v>
      </c>
      <c r="F58" s="120" t="s">
        <v>55</v>
      </c>
      <c r="G58" s="120" t="s">
        <v>82</v>
      </c>
      <c r="H58" s="77" t="s">
        <v>83</v>
      </c>
    </row>
    <row r="59" spans="1:8" ht="26.25" customHeight="1" x14ac:dyDescent="0.4">
      <c r="A59" s="75" t="s">
        <v>84</v>
      </c>
      <c r="B59" s="76">
        <v>1</v>
      </c>
      <c r="C59" s="175" t="s">
        <v>85</v>
      </c>
      <c r="D59" s="178">
        <v>1</v>
      </c>
      <c r="E59" s="121">
        <v>1</v>
      </c>
      <c r="F59" s="122">
        <f>28710802+13301102</f>
        <v>42011904</v>
      </c>
      <c r="G59" s="123">
        <f t="shared" ref="G59:G70" si="0">IF(ISBLANK(F59),"-",(F59/$D$50*$D$47*$B$67)*($B$56/$D$59))</f>
        <v>9.8237960115628395E-2</v>
      </c>
      <c r="H59" s="124">
        <f t="shared" ref="H59:H70" si="1">IF(ISBLANK(F59),"-",G59/$D$56)</f>
        <v>0.98237960115628387</v>
      </c>
    </row>
    <row r="60" spans="1:8" ht="26.25" customHeight="1" x14ac:dyDescent="0.4">
      <c r="A60" s="75" t="s">
        <v>86</v>
      </c>
      <c r="B60" s="76">
        <v>1</v>
      </c>
      <c r="C60" s="176"/>
      <c r="D60" s="179"/>
      <c r="E60" s="125">
        <v>2</v>
      </c>
      <c r="F60" s="86">
        <f>28421722+13282866</f>
        <v>41704588</v>
      </c>
      <c r="G60" s="126">
        <f t="shared" si="0"/>
        <v>9.7519351957547906E-2</v>
      </c>
      <c r="H60" s="127">
        <f t="shared" si="1"/>
        <v>0.97519351957547906</v>
      </c>
    </row>
    <row r="61" spans="1:8" ht="26.25" customHeight="1" x14ac:dyDescent="0.4">
      <c r="A61" s="75" t="s">
        <v>87</v>
      </c>
      <c r="B61" s="76">
        <v>1</v>
      </c>
      <c r="C61" s="176"/>
      <c r="D61" s="179"/>
      <c r="E61" s="125">
        <v>3</v>
      </c>
      <c r="F61" s="86">
        <f>28362194+13247279</f>
        <v>41609473</v>
      </c>
      <c r="G61" s="126">
        <f t="shared" si="0"/>
        <v>9.7296941100463261E-2</v>
      </c>
      <c r="H61" s="127">
        <f t="shared" si="1"/>
        <v>0.97296941100463252</v>
      </c>
    </row>
    <row r="62" spans="1:8" ht="27" customHeight="1" thickBot="1" x14ac:dyDescent="0.45">
      <c r="A62" s="75" t="s">
        <v>88</v>
      </c>
      <c r="B62" s="76">
        <v>1</v>
      </c>
      <c r="C62" s="177"/>
      <c r="D62" s="180"/>
      <c r="E62" s="128">
        <v>4</v>
      </c>
      <c r="F62" s="129"/>
      <c r="G62" s="126" t="str">
        <f t="shared" si="0"/>
        <v>-</v>
      </c>
      <c r="H62" s="127" t="str">
        <f t="shared" si="1"/>
        <v>-</v>
      </c>
    </row>
    <row r="63" spans="1:8" ht="26.25" customHeight="1" x14ac:dyDescent="0.4">
      <c r="A63" s="75" t="s">
        <v>89</v>
      </c>
      <c r="B63" s="76">
        <v>1</v>
      </c>
      <c r="C63" s="175" t="s">
        <v>90</v>
      </c>
      <c r="D63" s="181">
        <v>1</v>
      </c>
      <c r="E63" s="121">
        <v>1</v>
      </c>
      <c r="F63" s="122">
        <f>28713543+13327302</f>
        <v>42040845</v>
      </c>
      <c r="G63" s="123">
        <f t="shared" si="0"/>
        <v>9.8305633906459355E-2</v>
      </c>
      <c r="H63" s="124">
        <f t="shared" si="1"/>
        <v>0.98305633906459355</v>
      </c>
    </row>
    <row r="64" spans="1:8" ht="26.25" customHeight="1" x14ac:dyDescent="0.4">
      <c r="A64" s="75" t="s">
        <v>91</v>
      </c>
      <c r="B64" s="76">
        <v>1</v>
      </c>
      <c r="C64" s="176"/>
      <c r="D64" s="182"/>
      <c r="E64" s="125">
        <v>2</v>
      </c>
      <c r="F64" s="86">
        <f>28440939+13266158</f>
        <v>41707097</v>
      </c>
      <c r="G64" s="126">
        <f t="shared" si="0"/>
        <v>9.7525218843322228E-2</v>
      </c>
      <c r="H64" s="127">
        <f t="shared" si="1"/>
        <v>0.97525218843322226</v>
      </c>
    </row>
    <row r="65" spans="1:8" ht="26.25" customHeight="1" x14ac:dyDescent="0.4">
      <c r="A65" s="75" t="s">
        <v>92</v>
      </c>
      <c r="B65" s="76">
        <v>1</v>
      </c>
      <c r="C65" s="176"/>
      <c r="D65" s="182"/>
      <c r="E65" s="125">
        <v>3</v>
      </c>
      <c r="F65" s="86">
        <f>28339310+13267849</f>
        <v>41607159</v>
      </c>
      <c r="G65" s="126">
        <f t="shared" si="0"/>
        <v>9.7291530190267247E-2</v>
      </c>
      <c r="H65" s="127">
        <f t="shared" si="1"/>
        <v>0.97291530190267239</v>
      </c>
    </row>
    <row r="66" spans="1:8" ht="27" customHeight="1" thickBot="1" x14ac:dyDescent="0.45">
      <c r="A66" s="75" t="s">
        <v>93</v>
      </c>
      <c r="B66" s="76">
        <v>1</v>
      </c>
      <c r="C66" s="177"/>
      <c r="D66" s="183"/>
      <c r="E66" s="128">
        <v>4</v>
      </c>
      <c r="F66" s="129"/>
      <c r="G66" s="130" t="str">
        <f t="shared" si="0"/>
        <v>-</v>
      </c>
      <c r="H66" s="131" t="str">
        <f t="shared" si="1"/>
        <v>-</v>
      </c>
    </row>
    <row r="67" spans="1:8" ht="26.25" customHeight="1" x14ac:dyDescent="0.4">
      <c r="A67" s="75" t="s">
        <v>94</v>
      </c>
      <c r="B67" s="85">
        <f>(B66/B65)*(B64/B63)*(B62/B61)*(B60/B59)*B58</f>
        <v>1</v>
      </c>
      <c r="C67" s="175" t="s">
        <v>95</v>
      </c>
      <c r="D67" s="178">
        <v>1</v>
      </c>
      <c r="E67" s="121">
        <v>1</v>
      </c>
      <c r="F67" s="122">
        <f>28567192+12048510</f>
        <v>40615702</v>
      </c>
      <c r="G67" s="126">
        <f t="shared" si="0"/>
        <v>9.4973170298214726E-2</v>
      </c>
      <c r="H67" s="127">
        <f t="shared" si="1"/>
        <v>0.94973170298214726</v>
      </c>
    </row>
    <row r="68" spans="1:8" ht="27" customHeight="1" thickBot="1" x14ac:dyDescent="0.45">
      <c r="A68" s="132" t="s">
        <v>96</v>
      </c>
      <c r="B68" s="133">
        <f>(D47*B67)/D56*B56</f>
        <v>1</v>
      </c>
      <c r="C68" s="176"/>
      <c r="D68" s="179"/>
      <c r="E68" s="125">
        <v>2</v>
      </c>
      <c r="F68" s="86">
        <f>28972906+12025457</f>
        <v>40998363</v>
      </c>
      <c r="G68" s="126">
        <f t="shared" si="0"/>
        <v>9.5867960404747543E-2</v>
      </c>
      <c r="H68" s="127">
        <f t="shared" si="1"/>
        <v>0.95867960404747543</v>
      </c>
    </row>
    <row r="69" spans="1:8" ht="26.25" customHeight="1" x14ac:dyDescent="0.4">
      <c r="A69" s="169" t="s">
        <v>69</v>
      </c>
      <c r="B69" s="170"/>
      <c r="C69" s="176"/>
      <c r="D69" s="179"/>
      <c r="E69" s="125">
        <v>3</v>
      </c>
      <c r="F69" s="86">
        <f>29237436+12014335</f>
        <v>41251771</v>
      </c>
      <c r="G69" s="126">
        <f t="shared" si="0"/>
        <v>9.6460513529618555E-2</v>
      </c>
      <c r="H69" s="127">
        <f t="shared" si="1"/>
        <v>0.96460513529618552</v>
      </c>
    </row>
    <row r="70" spans="1:8" ht="27" customHeight="1" thickBot="1" x14ac:dyDescent="0.45">
      <c r="A70" s="171"/>
      <c r="B70" s="172"/>
      <c r="C70" s="184"/>
      <c r="D70" s="180"/>
      <c r="E70" s="128">
        <v>4</v>
      </c>
      <c r="F70" s="129"/>
      <c r="G70" s="130" t="str">
        <f t="shared" si="0"/>
        <v>-</v>
      </c>
      <c r="H70" s="131" t="str">
        <f t="shared" si="1"/>
        <v>-</v>
      </c>
    </row>
    <row r="71" spans="1:8" ht="26.25" customHeight="1" x14ac:dyDescent="0.4">
      <c r="A71" s="135"/>
      <c r="B71" s="135"/>
      <c r="C71" s="135"/>
      <c r="D71" s="135"/>
      <c r="E71" s="135"/>
      <c r="F71" s="135"/>
      <c r="G71" s="136" t="s">
        <v>62</v>
      </c>
      <c r="H71" s="137">
        <f>AVERAGE(H59:H70)</f>
        <v>0.97053142260696568</v>
      </c>
    </row>
    <row r="72" spans="1:8" ht="26.25" customHeight="1" x14ac:dyDescent="0.4">
      <c r="A72" s="150"/>
      <c r="B72" s="150"/>
      <c r="C72" s="135"/>
      <c r="D72" s="135"/>
      <c r="E72" s="135"/>
      <c r="F72" s="135"/>
      <c r="G72" s="138" t="s">
        <v>75</v>
      </c>
      <c r="H72" s="139">
        <f>STDEV(H59:H70)/H71</f>
        <v>1.1293618509547795E-2</v>
      </c>
    </row>
    <row r="73" spans="1:8" ht="27" customHeight="1" thickBot="1" x14ac:dyDescent="0.45">
      <c r="A73" s="135"/>
      <c r="B73" s="135"/>
      <c r="C73" s="135"/>
      <c r="D73" s="135"/>
      <c r="E73" s="140"/>
      <c r="F73" s="135"/>
      <c r="G73" s="141" t="s">
        <v>19</v>
      </c>
      <c r="H73" s="142">
        <f>COUNT(H59:H70)</f>
        <v>9</v>
      </c>
    </row>
    <row r="74" spans="1:8" ht="18.75" customHeight="1" x14ac:dyDescent="0.3">
      <c r="A74" s="135"/>
      <c r="B74" s="135"/>
      <c r="C74" s="135"/>
      <c r="D74" s="135"/>
      <c r="E74" s="135"/>
      <c r="F74" s="140"/>
      <c r="G74" s="135"/>
      <c r="H74" s="135"/>
    </row>
    <row r="75" spans="1:8" ht="26.25" customHeight="1" x14ac:dyDescent="0.4">
      <c r="A75" s="151" t="s">
        <v>97</v>
      </c>
      <c r="B75" s="144" t="s">
        <v>98</v>
      </c>
      <c r="C75" s="173" t="str">
        <f>B20</f>
        <v>Benzalkonium Chloride</v>
      </c>
      <c r="D75" s="173"/>
      <c r="E75" s="150" t="s">
        <v>99</v>
      </c>
      <c r="F75" s="150"/>
      <c r="G75" s="146">
        <f>H71</f>
        <v>0.97053142260696568</v>
      </c>
      <c r="H75" s="135"/>
    </row>
    <row r="76" spans="1:8" ht="19.5" customHeight="1" thickBot="1" x14ac:dyDescent="0.35">
      <c r="A76" s="147"/>
      <c r="B76" s="148"/>
      <c r="C76" s="148"/>
      <c r="D76" s="148"/>
      <c r="E76" s="148"/>
      <c r="F76" s="148"/>
      <c r="G76" s="148"/>
      <c r="H76" s="148"/>
    </row>
    <row r="77" spans="1:8" ht="18.75" customHeight="1" x14ac:dyDescent="0.3">
      <c r="A77" s="150"/>
      <c r="B77" s="174" t="s">
        <v>25</v>
      </c>
      <c r="C77" s="174"/>
      <c r="D77" s="135"/>
      <c r="E77" s="164" t="s">
        <v>26</v>
      </c>
      <c r="F77" s="150"/>
      <c r="G77" s="174" t="s">
        <v>27</v>
      </c>
      <c r="H77" s="174"/>
    </row>
    <row r="78" spans="1:8" ht="60" customHeight="1" x14ac:dyDescent="0.3">
      <c r="A78" s="151" t="s">
        <v>28</v>
      </c>
      <c r="B78" s="154" t="s">
        <v>101</v>
      </c>
      <c r="C78" s="154"/>
      <c r="D78" s="153"/>
      <c r="E78" s="154" t="s">
        <v>106</v>
      </c>
      <c r="F78" s="150"/>
      <c r="G78" s="155"/>
      <c r="H78" s="155"/>
    </row>
    <row r="79" spans="1:8" ht="60" customHeight="1" x14ac:dyDescent="0.3">
      <c r="A79" s="151" t="s">
        <v>29</v>
      </c>
      <c r="B79" s="156"/>
      <c r="C79" s="156"/>
      <c r="D79" s="157"/>
      <c r="E79" s="158"/>
      <c r="F79" s="150"/>
      <c r="G79" s="159"/>
      <c r="H79" s="159"/>
    </row>
    <row r="250" spans="1:1" x14ac:dyDescent="0.2">
      <c r="A250" s="44">
        <v>5</v>
      </c>
    </row>
  </sheetData>
  <sheetProtection password="F258" sheet="1" objects="1" scenarios="1" formatColumns="0" formatRows="0" insertColumns="0" insertHyperlinks="0" deleteColumns="0" deleteRows="0" autoFilter="0" pivotTables="0"/>
  <mergeCells count="23">
    <mergeCell ref="C75:D75"/>
    <mergeCell ref="B77:C77"/>
    <mergeCell ref="G77:H77"/>
    <mergeCell ref="A46:B47"/>
    <mergeCell ref="C59:C62"/>
    <mergeCell ref="D59:D62"/>
    <mergeCell ref="C63:C66"/>
    <mergeCell ref="D63:D66"/>
    <mergeCell ref="C67:C70"/>
    <mergeCell ref="D67:D70"/>
    <mergeCell ref="A69:B70"/>
    <mergeCell ref="B27:C27"/>
    <mergeCell ref="C29:G29"/>
    <mergeCell ref="C31:G31"/>
    <mergeCell ref="C32:G32"/>
    <mergeCell ref="D36:E36"/>
    <mergeCell ref="F36:G36"/>
    <mergeCell ref="B26:C26"/>
    <mergeCell ref="A1:H7"/>
    <mergeCell ref="A8:H14"/>
    <mergeCell ref="A16:H16"/>
    <mergeCell ref="B18:E18"/>
    <mergeCell ref="B21:H21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SST Ketotifen Fumarate</vt:lpstr>
      <vt:lpstr>Ketotifen Fumarate</vt:lpstr>
      <vt:lpstr>SST Benzalkonium Cl A</vt:lpstr>
      <vt:lpstr>SST Benzalkonium Cl B</vt:lpstr>
      <vt:lpstr>Benzalkonium Cl</vt:lpstr>
      <vt:lpstr>'Benzalkonium Cl'!Print_Area</vt:lpstr>
      <vt:lpstr>'SST Benzalkonium Cl A'!Print_Area</vt:lpstr>
      <vt:lpstr>'SST Benzalkonium Cl B'!Print_Area</vt:lpstr>
      <vt:lpstr>'SST Ketotifen Fumarate'!Print_Area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User</cp:lastModifiedBy>
  <cp:lastPrinted>2016-03-21T08:21:23Z</cp:lastPrinted>
  <dcterms:created xsi:type="dcterms:W3CDTF">2005-07-05T10:19:27Z</dcterms:created>
  <dcterms:modified xsi:type="dcterms:W3CDTF">2016-04-08T14:31:02Z</dcterms:modified>
  <cp:category/>
</cp:coreProperties>
</file>