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Joy\2016\August\"/>
    </mc:Choice>
  </mc:AlternateContent>
  <bookViews>
    <workbookView xWindow="510" yWindow="555" windowWidth="15015" windowHeight="7620" activeTab="2"/>
  </bookViews>
  <sheets>
    <sheet name="SST (2)" sheetId="5" r:id="rId1"/>
    <sheet name="Uniformity" sheetId="2" r:id="rId2"/>
    <sheet name="sitagliptin" sheetId="3" r:id="rId3"/>
  </sheets>
  <externalReferences>
    <externalReference r:id="rId4"/>
  </externalReferences>
  <definedNames>
    <definedName name="_xlnm.Print_Area" localSheetId="1">Uniformity!$A$1:$F$54</definedName>
  </definedNames>
  <calcPr calcId="152511"/>
</workbook>
</file>

<file path=xl/calcChain.xml><?xml version="1.0" encoding="utf-8"?>
<calcChain xmlns="http://schemas.openxmlformats.org/spreadsheetml/2006/main">
  <c r="B18" i="5" l="1"/>
  <c r="B17" i="5"/>
  <c r="B53" i="5"/>
  <c r="E51" i="5"/>
  <c r="D51" i="5"/>
  <c r="C51" i="5"/>
  <c r="B51" i="5"/>
  <c r="B52" i="5" s="1"/>
  <c r="B42" i="5"/>
  <c r="B41" i="5"/>
  <c r="B40" i="5"/>
  <c r="B39" i="5"/>
  <c r="B32" i="5"/>
  <c r="E30" i="5"/>
  <c r="D30" i="5"/>
  <c r="C30" i="5"/>
  <c r="B30" i="5"/>
  <c r="B31" i="5" s="1"/>
  <c r="B21" i="5"/>
  <c r="B20" i="5"/>
  <c r="B19" i="5"/>
  <c r="B30" i="3" l="1"/>
  <c r="C120" i="3"/>
  <c r="B116" i="3"/>
  <c r="D100" i="3" s="1"/>
  <c r="B98" i="3"/>
  <c r="F95" i="3"/>
  <c r="D95" i="3"/>
  <c r="B87" i="3"/>
  <c r="F97" i="3" s="1"/>
  <c r="C76" i="3"/>
  <c r="B68" i="3"/>
  <c r="C56" i="3"/>
  <c r="B55" i="3"/>
  <c r="B45" i="3"/>
  <c r="D48" i="3" s="1"/>
  <c r="F42" i="3"/>
  <c r="D42" i="3"/>
  <c r="B34" i="3"/>
  <c r="D44" i="3" s="1"/>
  <c r="C46" i="2"/>
  <c r="D50" i="2" s="1"/>
  <c r="C45" i="2"/>
  <c r="C19" i="2"/>
  <c r="B81" i="3" l="1"/>
  <c r="B83" i="3" s="1"/>
  <c r="F98" i="3" s="1"/>
  <c r="D101" i="3"/>
  <c r="D102" i="3" s="1"/>
  <c r="I92" i="3"/>
  <c r="D31" i="2"/>
  <c r="D40" i="2"/>
  <c r="D24" i="2"/>
  <c r="D32" i="2"/>
  <c r="D25" i="2"/>
  <c r="D36" i="2"/>
  <c r="D28" i="2"/>
  <c r="D39" i="2"/>
  <c r="C49" i="2"/>
  <c r="D27" i="2"/>
  <c r="D35" i="2"/>
  <c r="D43" i="2"/>
  <c r="D49" i="2"/>
  <c r="I39" i="3"/>
  <c r="D45" i="3"/>
  <c r="D46" i="3" s="1"/>
  <c r="D49" i="3"/>
  <c r="E41" i="3"/>
  <c r="F44" i="3"/>
  <c r="F45" i="3" s="1"/>
  <c r="F46" i="3" s="1"/>
  <c r="B57" i="3"/>
  <c r="B69" i="3" s="1"/>
  <c r="D29" i="2"/>
  <c r="D33" i="2"/>
  <c r="D37" i="2"/>
  <c r="D41" i="2"/>
  <c r="C50" i="2"/>
  <c r="D97" i="3"/>
  <c r="D26" i="2"/>
  <c r="D30" i="2"/>
  <c r="D34" i="2"/>
  <c r="D38" i="2"/>
  <c r="D42" i="2"/>
  <c r="B49" i="2"/>
  <c r="G93" i="3" l="1"/>
  <c r="D98" i="3"/>
  <c r="E92" i="3" s="1"/>
  <c r="E39" i="3"/>
  <c r="E40" i="3"/>
  <c r="E38" i="3"/>
  <c r="G41" i="3"/>
  <c r="G40" i="3"/>
  <c r="D99" i="3"/>
  <c r="E93" i="3"/>
  <c r="E91" i="3"/>
  <c r="E94" i="3"/>
  <c r="G39" i="3"/>
  <c r="G38" i="3"/>
  <c r="G91" i="3"/>
  <c r="F99" i="3"/>
  <c r="G92" i="3"/>
  <c r="G94" i="3"/>
  <c r="E42" i="3" l="1"/>
  <c r="D50" i="3"/>
  <c r="G68" i="3" s="1"/>
  <c r="H68" i="3" s="1"/>
  <c r="D52" i="3"/>
  <c r="G42" i="3"/>
  <c r="G95" i="3"/>
  <c r="E95" i="3"/>
  <c r="D105" i="3"/>
  <c r="D103" i="3"/>
  <c r="G71" i="3"/>
  <c r="H71" i="3" s="1"/>
  <c r="G63" i="3"/>
  <c r="H63" i="3" s="1"/>
  <c r="G62" i="3" l="1"/>
  <c r="H62" i="3" s="1"/>
  <c r="G65" i="3"/>
  <c r="H65" i="3" s="1"/>
  <c r="D51" i="3"/>
  <c r="G60" i="3"/>
  <c r="H60" i="3" s="1"/>
  <c r="G67" i="3"/>
  <c r="H67" i="3" s="1"/>
  <c r="G64" i="3"/>
  <c r="H64" i="3" s="1"/>
  <c r="G69" i="3"/>
  <c r="H69" i="3" s="1"/>
  <c r="G61" i="3"/>
  <c r="H61" i="3" s="1"/>
  <c r="G70" i="3"/>
  <c r="H70" i="3" s="1"/>
  <c r="G66" i="3"/>
  <c r="H66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E115" i="3"/>
  <c r="E116" i="3" s="1"/>
  <c r="E117" i="3"/>
  <c r="F108" i="3"/>
  <c r="H74" i="3"/>
  <c r="H72" i="3"/>
  <c r="F117" i="3" l="1"/>
  <c r="F115" i="3"/>
  <c r="G76" i="3"/>
  <c r="H73" i="3"/>
  <c r="G120" i="3" l="1"/>
  <c r="F116" i="3"/>
  <c r="B79" i="3"/>
  <c r="B26" i="3"/>
  <c r="B27" i="3"/>
  <c r="B80" i="3"/>
</calcChain>
</file>

<file path=xl/sharedStrings.xml><?xml version="1.0" encoding="utf-8"?>
<sst xmlns="http://schemas.openxmlformats.org/spreadsheetml/2006/main" count="229" uniqueCount="128">
  <si>
    <t>HPLC System Suitability Report</t>
  </si>
  <si>
    <t>Analysis Data</t>
  </si>
  <si>
    <t>Assay</t>
  </si>
  <si>
    <t>Sample(s)</t>
  </si>
  <si>
    <t>Reference Substance:</t>
  </si>
  <si>
    <t>GLIPITA 100 TABLETS</t>
  </si>
  <si>
    <t>% age Purity:</t>
  </si>
  <si>
    <t>NDQD201510446</t>
  </si>
  <si>
    <t>Weight (mg):</t>
  </si>
  <si>
    <t>Sitagliptin</t>
  </si>
  <si>
    <t>Standard Conc (mg/mL):</t>
  </si>
  <si>
    <t xml:space="preserve">Eacl Tablet contains: Sitagliptin 100mg    phosphate INN Equivalent to 50 mg Sitagliptin </t>
  </si>
  <si>
    <t>2015-10-26 09:23:28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</si>
  <si>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</si>
  <si>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</si>
  <si>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</si>
  <si>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</si>
  <si>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</si>
  <si>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</si>
  <si>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</si>
  <si>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</si>
  <si>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</si>
  <si>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</si>
  <si>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</si>
  <si>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</si>
  <si>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</si>
  <si>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</si>
  <si>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</si>
  <si>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</si>
  <si>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</si>
  <si>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</si>
  <si>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</si>
  <si>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</si>
  <si>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</si>
  <si>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</si>
  <si>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</si>
  <si>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</si>
  <si>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</si>
  <si>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</si>
  <si>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</si>
  <si>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</si>
  <si>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</si>
  <si>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</si>
  <si>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</si>
  <si>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</si>
  <si>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</si>
  <si>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</si>
  <si>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</si>
  <si>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</si>
  <si>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</si>
  <si>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</si>
  <si>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</si>
  <si>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</si>
  <si>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</si>
  <si>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</si>
  <si>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</si>
  <si>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</si>
  <si>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</si>
  <si>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</si>
  <si>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</si>
  <si>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</si>
  <si>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</si>
  <si>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</si>
  <si>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</si>
  <si>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</si>
  <si>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</si>
  <si>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</si>
  <si>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</si>
  <si>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</si>
  <si>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</si>
  <si>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</si>
  <si>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</si>
  <si>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</si>
  <si>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</si>
  <si>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</si>
  <si>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</si>
  <si>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</si>
  <si>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</si>
  <si>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</si>
  <si>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</si>
  <si>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</si>
  <si>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</si>
  <si>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</si>
  <si>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</si>
  <si>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</si>
  <si>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</si>
  <si>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</si>
  <si>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</si>
  <si>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</si>
  <si>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</si>
  <si>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</si>
  <si>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</si>
  <si>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</si>
  <si>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</si>
  <si>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</si>
  <si>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</si>
  <si>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</si>
  <si>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</si>
  <si>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</si>
  <si>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</si>
  <si>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</si>
  <si>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</si>
  <si>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</si>
  <si>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</si>
  <si>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</si>
  <si>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</si>
  <si>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</si>
  <si>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</si>
  <si>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</si>
  <si>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</si>
  <si>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</si>
  <si>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</si>
  <si>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</si>
  <si>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</si>
  <si>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</si>
  <si>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</si>
  <si>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</si>
  <si>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</si>
  <si>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</si>
  <si>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</si>
  <si>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</si>
  <si>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</si>
  <si>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</si>
  <si>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</si>
  <si>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</si>
  <si>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Eacl Tablet contains: Sitagliptin 100mg    phosphate INN Equivalent to 100 mg Sitagliptin </t>
  </si>
  <si>
    <t>31st April 2016</t>
  </si>
  <si>
    <t>12th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</si>
</sst>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D20151044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 (2)"/>
      <sheetName val="Sitagliptin"/>
    </sheetNames>
    <sheetDataSet>
      <sheetData sheetId="0"/>
      <sheetData sheetId="1"/>
      <sheetData sheetId="2">
        <row r="26">
          <cell r="B26" t="str">
            <v>SITAGLIPTIN PHOSPHATE</v>
          </cell>
        </row>
        <row r="28">
          <cell r="B28">
            <v>96.9</v>
          </cell>
        </row>
        <row r="43">
          <cell r="D43">
            <v>14.11</v>
          </cell>
        </row>
        <row r="46">
          <cell r="D46">
            <v>0.10641662379825885</v>
          </cell>
        </row>
        <row r="79">
          <cell r="B79" t="str">
            <v>SITAGLIPTIN PHOSPHATE</v>
          </cell>
        </row>
        <row r="81">
          <cell r="B81">
            <v>96.9</v>
          </cell>
        </row>
        <row r="96">
          <cell r="D96">
            <v>31.99</v>
          </cell>
        </row>
        <row r="99">
          <cell r="D99">
            <v>4.8253264284993616E-2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" workbookViewId="0">
      <selection activeCell="C20" sqref="C20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70"/>
  </cols>
  <sheetData>
    <row r="14" spans="1:6" ht="15" customHeight="1" x14ac:dyDescent="0.3">
      <c r="A14" s="233"/>
      <c r="C14" s="235"/>
      <c r="F14" s="235"/>
    </row>
    <row r="15" spans="1:6" ht="18.75" customHeight="1" x14ac:dyDescent="0.3">
      <c r="A15" s="277" t="s">
        <v>0</v>
      </c>
      <c r="B15" s="277"/>
      <c r="C15" s="277"/>
      <c r="D15" s="277"/>
      <c r="E15" s="277"/>
    </row>
    <row r="16" spans="1:6" ht="16.5" customHeight="1" x14ac:dyDescent="0.3">
      <c r="A16" s="236" t="s">
        <v>1</v>
      </c>
      <c r="B16" s="237" t="s">
        <v>2</v>
      </c>
    </row>
    <row r="17" spans="1:5" ht="16.5" customHeight="1" x14ac:dyDescent="0.3">
      <c r="A17" s="238" t="s">
        <v>3</v>
      </c>
      <c r="B17" s="238" t="str">
        <f>sitagliptin!B18</f>
        <v>GLIPITA 100 TABLETS</v>
      </c>
      <c r="D17" s="239"/>
      <c r="E17" s="240"/>
    </row>
    <row r="18" spans="1:5" ht="16.5" customHeight="1" x14ac:dyDescent="0.3">
      <c r="A18" s="241" t="s">
        <v>4</v>
      </c>
      <c r="B18" s="238" t="str">
        <f>[1]Sitagliptin!B26</f>
        <v>SITAGLIPTIN PHOSPHATE</v>
      </c>
      <c r="C18" s="240"/>
      <c r="D18" s="240"/>
      <c r="E18" s="240"/>
    </row>
    <row r="19" spans="1:5" ht="16.5" customHeight="1" x14ac:dyDescent="0.3">
      <c r="A19" s="241" t="s">
        <v>6</v>
      </c>
      <c r="B19" s="242">
        <f>[1]Sitagliptin!B28</f>
        <v>96.9</v>
      </c>
      <c r="C19" s="240"/>
      <c r="D19" s="240"/>
      <c r="E19" s="240"/>
    </row>
    <row r="20" spans="1:5" ht="16.5" customHeight="1" x14ac:dyDescent="0.3">
      <c r="A20" s="238" t="s">
        <v>8</v>
      </c>
      <c r="B20" s="242">
        <f>[1]Sitagliptin!D43</f>
        <v>14.11</v>
      </c>
      <c r="C20" s="240"/>
      <c r="D20" s="240"/>
      <c r="E20" s="240"/>
    </row>
    <row r="21" spans="1:5" ht="16.5" customHeight="1" x14ac:dyDescent="0.3">
      <c r="A21" s="238" t="s">
        <v>10</v>
      </c>
      <c r="B21" s="243">
        <f>[1]Sitagliptin!D46</f>
        <v>0.10641662379825885</v>
      </c>
      <c r="C21" s="240"/>
      <c r="D21" s="240"/>
      <c r="E21" s="240"/>
    </row>
    <row r="22" spans="1:5" ht="15.75" customHeight="1" x14ac:dyDescent="0.25">
      <c r="A22" s="240"/>
      <c r="B22" s="240"/>
      <c r="C22" s="240"/>
      <c r="D22" s="240"/>
      <c r="E22" s="240"/>
    </row>
    <row r="23" spans="1:5" ht="16.5" customHeight="1" x14ac:dyDescent="0.3">
      <c r="A23" s="244" t="s">
        <v>13</v>
      </c>
      <c r="B23" s="245" t="s">
        <v>14</v>
      </c>
      <c r="C23" s="244" t="s">
        <v>15</v>
      </c>
      <c r="D23" s="244" t="s">
        <v>16</v>
      </c>
      <c r="E23" s="244" t="s">
        <v>17</v>
      </c>
    </row>
    <row r="24" spans="1:5" ht="16.5" customHeight="1" x14ac:dyDescent="0.3">
      <c r="A24" s="246">
        <v>1</v>
      </c>
      <c r="B24" s="247">
        <v>57995008</v>
      </c>
      <c r="C24" s="247">
        <v>10743.6</v>
      </c>
      <c r="D24" s="248">
        <v>1.1000000000000001</v>
      </c>
      <c r="E24" s="249">
        <v>5.7</v>
      </c>
    </row>
    <row r="25" spans="1:5" ht="16.5" customHeight="1" x14ac:dyDescent="0.3">
      <c r="A25" s="246">
        <v>2</v>
      </c>
      <c r="B25" s="247">
        <v>58374483</v>
      </c>
      <c r="C25" s="247">
        <v>10739.2</v>
      </c>
      <c r="D25" s="248">
        <v>1.1000000000000001</v>
      </c>
      <c r="E25" s="248">
        <v>5.7</v>
      </c>
    </row>
    <row r="26" spans="1:5" ht="16.5" customHeight="1" x14ac:dyDescent="0.3">
      <c r="A26" s="246">
        <v>3</v>
      </c>
      <c r="B26" s="247">
        <v>58509974</v>
      </c>
      <c r="C26" s="247">
        <v>10730.4</v>
      </c>
      <c r="D26" s="248">
        <v>1.1000000000000001</v>
      </c>
      <c r="E26" s="248">
        <v>5.7</v>
      </c>
    </row>
    <row r="27" spans="1:5" ht="16.5" customHeight="1" x14ac:dyDescent="0.3">
      <c r="A27" s="246">
        <v>4</v>
      </c>
      <c r="B27" s="247">
        <v>58578547</v>
      </c>
      <c r="C27" s="247">
        <v>10726.9</v>
      </c>
      <c r="D27" s="248">
        <v>1.1000000000000001</v>
      </c>
      <c r="E27" s="248">
        <v>5.7</v>
      </c>
    </row>
    <row r="28" spans="1:5" ht="16.5" customHeight="1" x14ac:dyDescent="0.3">
      <c r="A28" s="246">
        <v>5</v>
      </c>
      <c r="B28" s="247">
        <v>58849254</v>
      </c>
      <c r="C28" s="247">
        <v>10717.5</v>
      </c>
      <c r="D28" s="248">
        <v>1.1000000000000001</v>
      </c>
      <c r="E28" s="248">
        <v>5.7</v>
      </c>
    </row>
    <row r="29" spans="1:5" ht="16.5" customHeight="1" x14ac:dyDescent="0.3">
      <c r="A29" s="246">
        <v>6</v>
      </c>
      <c r="B29" s="250">
        <v>58936903</v>
      </c>
      <c r="C29" s="250">
        <v>10742.9</v>
      </c>
      <c r="D29" s="251">
        <v>1.1000000000000001</v>
      </c>
      <c r="E29" s="251">
        <v>5.7</v>
      </c>
    </row>
    <row r="30" spans="1:5" ht="16.5" customHeight="1" x14ac:dyDescent="0.3">
      <c r="A30" s="252" t="s">
        <v>18</v>
      </c>
      <c r="B30" s="253">
        <f>AVERAGE(B24:B29)</f>
        <v>58540694.833333336</v>
      </c>
      <c r="C30" s="254">
        <f>AVERAGE(C24:C29)</f>
        <v>10733.416666666668</v>
      </c>
      <c r="D30" s="255">
        <f>AVERAGE(D24:D29)</f>
        <v>1.0999999999999999</v>
      </c>
      <c r="E30" s="255">
        <f>AVERAGE(E24:E29)</f>
        <v>5.7</v>
      </c>
    </row>
    <row r="31" spans="1:5" ht="16.5" customHeight="1" x14ac:dyDescent="0.3">
      <c r="A31" s="256" t="s">
        <v>19</v>
      </c>
      <c r="B31" s="257">
        <f>(STDEV(B24:B29)/B30)</f>
        <v>5.8177983182778302E-3</v>
      </c>
      <c r="C31" s="258"/>
      <c r="D31" s="258"/>
      <c r="E31" s="259"/>
    </row>
    <row r="32" spans="1:5" s="234" customFormat="1" ht="16.5" customHeight="1" x14ac:dyDescent="0.3">
      <c r="A32" s="260" t="s">
        <v>20</v>
      </c>
      <c r="B32" s="261">
        <f>COUNT(B24:B29)</f>
        <v>6</v>
      </c>
      <c r="C32" s="262"/>
      <c r="D32" s="263"/>
      <c r="E32" s="264"/>
    </row>
    <row r="33" spans="1:5" s="234" customFormat="1" ht="15.75" customHeight="1" x14ac:dyDescent="0.25">
      <c r="A33" s="240"/>
      <c r="B33" s="240"/>
      <c r="C33" s="240"/>
      <c r="D33" s="240"/>
      <c r="E33" s="240"/>
    </row>
    <row r="34" spans="1:5" s="234" customFormat="1" ht="16.5" customHeight="1" x14ac:dyDescent="0.3">
      <c r="A34" s="241" t="s">
        <v>21</v>
      </c>
      <c r="B34" s="265" t="s">
        <v>22</v>
      </c>
      <c r="C34" s="266"/>
      <c r="D34" s="266"/>
      <c r="E34" s="266"/>
    </row>
    <row r="35" spans="1:5" ht="16.5" customHeight="1" x14ac:dyDescent="0.3">
      <c r="A35" s="241"/>
      <c r="B35" s="265" t="s">
        <v>23</v>
      </c>
      <c r="C35" s="266"/>
      <c r="D35" s="266"/>
      <c r="E35" s="266"/>
    </row>
    <row r="36" spans="1:5" ht="16.5" customHeight="1" x14ac:dyDescent="0.3">
      <c r="A36" s="241"/>
      <c r="B36" s="265" t="s">
        <v>24</v>
      </c>
      <c r="C36" s="266"/>
      <c r="D36" s="266"/>
      <c r="E36" s="266"/>
    </row>
    <row r="37" spans="1:5" ht="15.75" customHeight="1" x14ac:dyDescent="0.25">
      <c r="A37" s="240"/>
      <c r="B37" s="240"/>
      <c r="C37" s="240"/>
      <c r="D37" s="240"/>
      <c r="E37" s="240"/>
    </row>
    <row r="38" spans="1:5" ht="16.5" customHeight="1" x14ac:dyDescent="0.3">
      <c r="A38" s="236" t="s">
        <v>1</v>
      </c>
      <c r="B38" s="237" t="s">
        <v>25</v>
      </c>
    </row>
    <row r="39" spans="1:5" ht="16.5" customHeight="1" x14ac:dyDescent="0.3">
      <c r="A39" s="241" t="s">
        <v>4</v>
      </c>
      <c r="B39" s="238" t="str">
        <f>[1]Sitagliptin!B79</f>
        <v>SITAGLIPTIN PHOSPHATE</v>
      </c>
      <c r="C39" s="240"/>
      <c r="D39" s="240"/>
      <c r="E39" s="240"/>
    </row>
    <row r="40" spans="1:5" ht="16.5" customHeight="1" x14ac:dyDescent="0.3">
      <c r="A40" s="241" t="s">
        <v>6</v>
      </c>
      <c r="B40" s="242">
        <f>[1]Sitagliptin!B81</f>
        <v>96.9</v>
      </c>
      <c r="C40" s="240"/>
      <c r="D40" s="240"/>
      <c r="E40" s="240"/>
    </row>
    <row r="41" spans="1:5" ht="16.5" customHeight="1" x14ac:dyDescent="0.3">
      <c r="A41" s="238" t="s">
        <v>8</v>
      </c>
      <c r="B41" s="242">
        <f>[1]Sitagliptin!D96</f>
        <v>31.99</v>
      </c>
      <c r="C41" s="240"/>
      <c r="D41" s="240"/>
      <c r="E41" s="240"/>
    </row>
    <row r="42" spans="1:5" ht="16.5" customHeight="1" x14ac:dyDescent="0.3">
      <c r="A42" s="238" t="s">
        <v>10</v>
      </c>
      <c r="B42" s="242">
        <f>[1]Sitagliptin!D99</f>
        <v>4.8253264284993616E-2</v>
      </c>
      <c r="C42" s="240"/>
      <c r="D42" s="240"/>
      <c r="E42" s="240"/>
    </row>
    <row r="43" spans="1:5" ht="15.75" customHeight="1" x14ac:dyDescent="0.25">
      <c r="A43" s="240"/>
      <c r="B43" s="240"/>
      <c r="C43" s="240"/>
      <c r="D43" s="240"/>
      <c r="E43" s="240"/>
    </row>
    <row r="44" spans="1:5" ht="16.5" customHeight="1" x14ac:dyDescent="0.3">
      <c r="A44" s="244" t="s">
        <v>13</v>
      </c>
      <c r="B44" s="245" t="s">
        <v>14</v>
      </c>
      <c r="C44" s="244" t="s">
        <v>15</v>
      </c>
      <c r="D44" s="244" t="s">
        <v>16</v>
      </c>
      <c r="E44" s="244" t="s">
        <v>17</v>
      </c>
    </row>
    <row r="45" spans="1:5" ht="16.5" customHeight="1" x14ac:dyDescent="0.3">
      <c r="A45" s="246">
        <v>1</v>
      </c>
      <c r="B45" s="247">
        <v>9261757</v>
      </c>
      <c r="C45" s="247">
        <v>6280.41</v>
      </c>
      <c r="D45" s="248">
        <v>1.74</v>
      </c>
      <c r="E45" s="249">
        <v>5.24</v>
      </c>
    </row>
    <row r="46" spans="1:5" ht="16.5" customHeight="1" x14ac:dyDescent="0.3">
      <c r="A46" s="246">
        <v>2</v>
      </c>
      <c r="B46" s="247">
        <v>9316473</v>
      </c>
      <c r="C46" s="247">
        <v>6273.99</v>
      </c>
      <c r="D46" s="248">
        <v>1.73</v>
      </c>
      <c r="E46" s="248">
        <v>5.24</v>
      </c>
    </row>
    <row r="47" spans="1:5" ht="16.5" customHeight="1" x14ac:dyDescent="0.3">
      <c r="A47" s="246">
        <v>3</v>
      </c>
      <c r="B47" s="247">
        <v>9097333</v>
      </c>
      <c r="C47" s="247">
        <v>6306.37</v>
      </c>
      <c r="D47" s="248">
        <v>1.7</v>
      </c>
      <c r="E47" s="248">
        <v>5.25</v>
      </c>
    </row>
    <row r="48" spans="1:5" ht="16.5" customHeight="1" x14ac:dyDescent="0.3">
      <c r="A48" s="246">
        <v>4</v>
      </c>
      <c r="B48" s="247">
        <v>9326552</v>
      </c>
      <c r="C48" s="247">
        <v>6288.9</v>
      </c>
      <c r="D48" s="248">
        <v>1.71</v>
      </c>
      <c r="E48" s="248">
        <v>5.25</v>
      </c>
    </row>
    <row r="49" spans="1:7" ht="16.5" customHeight="1" x14ac:dyDescent="0.3">
      <c r="A49" s="246">
        <v>5</v>
      </c>
      <c r="B49" s="247">
        <v>9243083</v>
      </c>
      <c r="C49" s="247">
        <v>6257.09</v>
      </c>
      <c r="D49" s="248">
        <v>1.69</v>
      </c>
      <c r="E49" s="248">
        <v>5.25</v>
      </c>
    </row>
    <row r="50" spans="1:7" ht="16.5" customHeight="1" x14ac:dyDescent="0.3">
      <c r="A50" s="246">
        <v>6</v>
      </c>
      <c r="B50" s="250">
        <v>9236418</v>
      </c>
      <c r="C50" s="250">
        <v>6258.98</v>
      </c>
      <c r="D50" s="251">
        <v>1.69</v>
      </c>
      <c r="E50" s="251">
        <v>5.25</v>
      </c>
    </row>
    <row r="51" spans="1:7" ht="16.5" customHeight="1" x14ac:dyDescent="0.3">
      <c r="A51" s="252" t="s">
        <v>18</v>
      </c>
      <c r="B51" s="253">
        <f>AVERAGE(B45:B50)</f>
        <v>9246936</v>
      </c>
      <c r="C51" s="254">
        <f>AVERAGE(C45:C50)</f>
        <v>6277.623333333333</v>
      </c>
      <c r="D51" s="255">
        <f>AVERAGE(D45:D50)</f>
        <v>1.71</v>
      </c>
      <c r="E51" s="255">
        <f>AVERAGE(E45:E50)</f>
        <v>5.246666666666667</v>
      </c>
    </row>
    <row r="52" spans="1:7" ht="16.5" customHeight="1" x14ac:dyDescent="0.3">
      <c r="A52" s="256" t="s">
        <v>19</v>
      </c>
      <c r="B52" s="257">
        <f>(STDEV(B45:B50)/B51)</f>
        <v>8.9046916906286057E-3</v>
      </c>
      <c r="C52" s="258"/>
      <c r="D52" s="258"/>
      <c r="E52" s="259"/>
    </row>
    <row r="53" spans="1:7" s="234" customFormat="1" ht="16.5" customHeight="1" x14ac:dyDescent="0.3">
      <c r="A53" s="260" t="s">
        <v>20</v>
      </c>
      <c r="B53" s="261">
        <f>COUNT(B45:B50)</f>
        <v>6</v>
      </c>
      <c r="C53" s="262"/>
      <c r="D53" s="263"/>
      <c r="E53" s="264"/>
    </row>
    <row r="54" spans="1:7" s="234" customFormat="1" ht="15.75" customHeight="1" x14ac:dyDescent="0.25">
      <c r="A54" s="240"/>
      <c r="B54" s="240"/>
      <c r="C54" s="240"/>
      <c r="D54" s="240"/>
      <c r="E54" s="240"/>
    </row>
    <row r="55" spans="1:7" s="234" customFormat="1" ht="16.5" customHeight="1" x14ac:dyDescent="0.3">
      <c r="A55" s="241" t="s">
        <v>21</v>
      </c>
      <c r="B55" s="265" t="s">
        <v>22</v>
      </c>
      <c r="C55" s="266"/>
      <c r="D55" s="266"/>
      <c r="E55" s="266"/>
    </row>
    <row r="56" spans="1:7" ht="16.5" customHeight="1" x14ac:dyDescent="0.3">
      <c r="A56" s="241"/>
      <c r="B56" s="265" t="s">
        <v>23</v>
      </c>
      <c r="C56" s="266"/>
      <c r="D56" s="266"/>
      <c r="E56" s="266"/>
    </row>
    <row r="57" spans="1:7" ht="16.5" customHeight="1" x14ac:dyDescent="0.3">
      <c r="A57" s="241"/>
      <c r="B57" s="265" t="s">
        <v>24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78" t="s">
        <v>26</v>
      </c>
      <c r="C59" s="278"/>
      <c r="E59" s="271" t="s">
        <v>27</v>
      </c>
      <c r="F59" s="272"/>
      <c r="G59" s="271" t="s">
        <v>28</v>
      </c>
    </row>
    <row r="60" spans="1:7" ht="22.5" customHeight="1" x14ac:dyDescent="0.3">
      <c r="A60" s="273" t="s">
        <v>29</v>
      </c>
      <c r="B60" s="274"/>
      <c r="C60" s="274"/>
      <c r="E60" s="274"/>
      <c r="G60" s="274"/>
    </row>
    <row r="61" spans="1:7" ht="25.5" customHeight="1" x14ac:dyDescent="0.3">
      <c r="A61" s="273" t="s">
        <v>30</v>
      </c>
      <c r="B61" s="275"/>
      <c r="C61" s="275"/>
      <c r="E61" s="275"/>
      <c r="G61" s="27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7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2" t="s">
        <v>31</v>
      </c>
      <c r="B11" s="283"/>
      <c r="C11" s="283"/>
      <c r="D11" s="283"/>
      <c r="E11" s="283"/>
      <c r="F11" s="284"/>
      <c r="G11" s="43"/>
    </row>
    <row r="12" spans="1:7" ht="16.5" customHeight="1" x14ac:dyDescent="0.3">
      <c r="A12" s="281" t="s">
        <v>32</v>
      </c>
      <c r="B12" s="281"/>
      <c r="C12" s="281"/>
      <c r="D12" s="281"/>
      <c r="E12" s="281"/>
      <c r="F12" s="281"/>
      <c r="G12" s="42"/>
    </row>
    <row r="14" spans="1:7" ht="16.5" customHeight="1" x14ac:dyDescent="0.3">
      <c r="A14" s="286" t="s">
        <v>33</v>
      </c>
      <c r="B14" s="286"/>
      <c r="C14" s="12" t="s">
        <v>5</v>
      </c>
    </row>
    <row r="15" spans="1:7" ht="16.5" customHeight="1" x14ac:dyDescent="0.3">
      <c r="A15" s="286" t="s">
        <v>34</v>
      </c>
      <c r="B15" s="286"/>
      <c r="C15" s="12" t="s">
        <v>7</v>
      </c>
    </row>
    <row r="16" spans="1:7" ht="16.5" customHeight="1" x14ac:dyDescent="0.3">
      <c r="A16" s="286" t="s">
        <v>35</v>
      </c>
      <c r="B16" s="286"/>
      <c r="C16" s="12" t="s">
        <v>9</v>
      </c>
    </row>
    <row r="17" spans="1:5" ht="16.5" customHeight="1" x14ac:dyDescent="0.3">
      <c r="A17" s="286" t="s">
        <v>36</v>
      </c>
      <c r="B17" s="286"/>
      <c r="C17" s="12" t="s">
        <v>11</v>
      </c>
    </row>
    <row r="18" spans="1:5" ht="16.5" customHeight="1" x14ac:dyDescent="0.3">
      <c r="A18" s="286" t="s">
        <v>37</v>
      </c>
      <c r="B18" s="286"/>
      <c r="C18" s="49" t="s">
        <v>12</v>
      </c>
    </row>
    <row r="19" spans="1:5" ht="16.5" customHeight="1" x14ac:dyDescent="0.3">
      <c r="A19" s="286" t="s">
        <v>38</v>
      </c>
      <c r="B19" s="28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1" t="s">
        <v>1</v>
      </c>
      <c r="B21" s="281"/>
      <c r="C21" s="11" t="s">
        <v>39</v>
      </c>
      <c r="D21" s="18"/>
    </row>
    <row r="22" spans="1:5" ht="15.75" customHeight="1" x14ac:dyDescent="0.3">
      <c r="A22" s="285"/>
      <c r="B22" s="285"/>
      <c r="C22" s="9"/>
      <c r="D22" s="285"/>
      <c r="E22" s="28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452.64</v>
      </c>
      <c r="D24" s="39">
        <f t="shared" ref="D24:D43" si="0">(C24-$C$46)/$C$46</f>
        <v>-1.9706999292891051E-2</v>
      </c>
      <c r="E24" s="5"/>
    </row>
    <row r="25" spans="1:5" ht="15.75" customHeight="1" x14ac:dyDescent="0.3">
      <c r="C25" s="47">
        <v>461.08</v>
      </c>
      <c r="D25" s="40">
        <f t="shared" si="0"/>
        <v>-1.4282945253760325E-3</v>
      </c>
      <c r="E25" s="5"/>
    </row>
    <row r="26" spans="1:5" ht="15.75" customHeight="1" x14ac:dyDescent="0.3">
      <c r="C26" s="47">
        <v>455.55</v>
      </c>
      <c r="D26" s="40">
        <f t="shared" si="0"/>
        <v>-1.3404744450062948E-2</v>
      </c>
      <c r="E26" s="5"/>
    </row>
    <row r="27" spans="1:5" ht="15.75" customHeight="1" x14ac:dyDescent="0.3">
      <c r="C27" s="47">
        <v>456.38</v>
      </c>
      <c r="D27" s="40">
        <f t="shared" si="0"/>
        <v>-1.1607194099703094E-2</v>
      </c>
      <c r="E27" s="5"/>
    </row>
    <row r="28" spans="1:5" ht="15.75" customHeight="1" x14ac:dyDescent="0.3">
      <c r="C28" s="47">
        <v>448.83</v>
      </c>
      <c r="D28" s="40">
        <f t="shared" si="0"/>
        <v>-2.7958405118037054E-2</v>
      </c>
      <c r="E28" s="5"/>
    </row>
    <row r="29" spans="1:5" ht="15.75" customHeight="1" x14ac:dyDescent="0.3">
      <c r="C29" s="47">
        <v>461.18</v>
      </c>
      <c r="D29" s="40">
        <f t="shared" si="0"/>
        <v>-1.2117221940073219E-3</v>
      </c>
      <c r="E29" s="5"/>
    </row>
    <row r="30" spans="1:5" ht="15.75" customHeight="1" x14ac:dyDescent="0.3">
      <c r="C30" s="47">
        <v>475.72</v>
      </c>
      <c r="D30" s="40">
        <f t="shared" si="0"/>
        <v>3.0277894786996089E-2</v>
      </c>
      <c r="E30" s="5"/>
    </row>
    <row r="31" spans="1:5" ht="15.75" customHeight="1" x14ac:dyDescent="0.3">
      <c r="C31" s="47">
        <v>457.53</v>
      </c>
      <c r="D31" s="40">
        <f t="shared" si="0"/>
        <v>-9.1166122889635368E-3</v>
      </c>
      <c r="E31" s="5"/>
    </row>
    <row r="32" spans="1:5" ht="15.75" customHeight="1" x14ac:dyDescent="0.3">
      <c r="C32" s="47">
        <v>467.16</v>
      </c>
      <c r="D32" s="40">
        <f t="shared" si="0"/>
        <v>1.173930322183867E-2</v>
      </c>
      <c r="E32" s="5"/>
    </row>
    <row r="33" spans="1:7" ht="15.75" customHeight="1" x14ac:dyDescent="0.3">
      <c r="C33" s="47">
        <v>462.74</v>
      </c>
      <c r="D33" s="40">
        <f t="shared" si="0"/>
        <v>2.166806175343801E-3</v>
      </c>
      <c r="E33" s="5"/>
    </row>
    <row r="34" spans="1:7" ht="15.75" customHeight="1" x14ac:dyDescent="0.3">
      <c r="C34" s="47">
        <v>459.13</v>
      </c>
      <c r="D34" s="40">
        <f t="shared" si="0"/>
        <v>-5.6514549870649048E-3</v>
      </c>
      <c r="E34" s="5"/>
    </row>
    <row r="35" spans="1:7" ht="15.75" customHeight="1" x14ac:dyDescent="0.3">
      <c r="C35" s="47">
        <v>466.57</v>
      </c>
      <c r="D35" s="40">
        <f t="shared" si="0"/>
        <v>1.0461526466763498E-2</v>
      </c>
      <c r="E35" s="5"/>
    </row>
    <row r="36" spans="1:7" ht="15.75" customHeight="1" x14ac:dyDescent="0.3">
      <c r="C36" s="47">
        <v>457.13</v>
      </c>
      <c r="D36" s="40">
        <f t="shared" si="0"/>
        <v>-9.9829016144381329E-3</v>
      </c>
      <c r="E36" s="5"/>
    </row>
    <row r="37" spans="1:7" ht="15.75" customHeight="1" x14ac:dyDescent="0.3">
      <c r="C37" s="47">
        <v>468.53</v>
      </c>
      <c r="D37" s="40">
        <f t="shared" si="0"/>
        <v>1.4706344161589217E-2</v>
      </c>
      <c r="E37" s="5"/>
    </row>
    <row r="38" spans="1:7" ht="15.75" customHeight="1" x14ac:dyDescent="0.3">
      <c r="C38" s="47">
        <v>457.49</v>
      </c>
      <c r="D38" s="40">
        <f t="shared" si="0"/>
        <v>-9.2032412215109233E-3</v>
      </c>
      <c r="E38" s="5"/>
    </row>
    <row r="39" spans="1:7" ht="15.75" customHeight="1" x14ac:dyDescent="0.3">
      <c r="C39" s="47">
        <v>473.42</v>
      </c>
      <c r="D39" s="40">
        <f t="shared" si="0"/>
        <v>2.5296731165516853E-2</v>
      </c>
      <c r="E39" s="5"/>
    </row>
    <row r="40" spans="1:7" ht="15.75" customHeight="1" x14ac:dyDescent="0.3">
      <c r="C40" s="47">
        <v>469.05</v>
      </c>
      <c r="D40" s="40">
        <f t="shared" si="0"/>
        <v>1.5832520284706341E-2</v>
      </c>
      <c r="E40" s="5"/>
    </row>
    <row r="41" spans="1:7" ht="15.75" customHeight="1" x14ac:dyDescent="0.3">
      <c r="C41" s="47">
        <v>458.21</v>
      </c>
      <c r="D41" s="40">
        <f t="shared" si="0"/>
        <v>-7.6439204356566247E-3</v>
      </c>
      <c r="E41" s="5"/>
    </row>
    <row r="42" spans="1:7" ht="15.75" customHeight="1" x14ac:dyDescent="0.3">
      <c r="C42" s="47">
        <v>460.39</v>
      </c>
      <c r="D42" s="40">
        <f t="shared" si="0"/>
        <v>-2.9226436118197914E-3</v>
      </c>
      <c r="E42" s="5"/>
    </row>
    <row r="43" spans="1:7" ht="16.5" customHeight="1" x14ac:dyDescent="0.3">
      <c r="C43" s="48">
        <v>466.06</v>
      </c>
      <c r="D43" s="41">
        <f t="shared" si="0"/>
        <v>9.3570075767833456E-3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9234.7899999999972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461.73949999999985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79">
        <f>C46</f>
        <v>461.73949999999985</v>
      </c>
      <c r="C49" s="45">
        <f>-IF(C46&lt;=80,10%,IF(C46&lt;250,7.5%,5%))</f>
        <v>-0.05</v>
      </c>
      <c r="D49" s="33">
        <f>IF(C46&lt;=80,C46*0.9,IF(C46&lt;250,C46*0.925,C46*0.95))</f>
        <v>438.65252499999986</v>
      </c>
    </row>
    <row r="50" spans="1:6" ht="17.25" customHeight="1" x14ac:dyDescent="0.3">
      <c r="B50" s="280"/>
      <c r="C50" s="46">
        <f>IF(C46&lt;=80, 10%, IF(C46&lt;250, 7.5%, 5%))</f>
        <v>0.05</v>
      </c>
      <c r="D50" s="33">
        <f>IF(C46&lt;=80, C46*1.1, IF(C46&lt;250, C46*1.075, C46*1.05))</f>
        <v>484.82647499999985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64" zoomScale="60" zoomScaleNormal="60" zoomScalePageLayoutView="55" workbookViewId="0">
      <selection activeCell="B20" sqref="B20:C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5" t="s">
        <v>45</v>
      </c>
      <c r="B1" s="315"/>
      <c r="C1" s="315"/>
      <c r="D1" s="315"/>
      <c r="E1" s="315"/>
      <c r="F1" s="315"/>
      <c r="G1" s="315"/>
      <c r="H1" s="315"/>
      <c r="I1" s="315"/>
    </row>
    <row r="2" spans="1:9" ht="18.75" customHeight="1" x14ac:dyDescent="0.25">
      <c r="A2" s="315"/>
      <c r="B2" s="315"/>
      <c r="C2" s="315"/>
      <c r="D2" s="315"/>
      <c r="E2" s="315"/>
      <c r="F2" s="315"/>
      <c r="G2" s="315"/>
      <c r="H2" s="315"/>
      <c r="I2" s="315"/>
    </row>
    <row r="3" spans="1:9" ht="18.75" customHeight="1" x14ac:dyDescent="0.25">
      <c r="A3" s="315"/>
      <c r="B3" s="315"/>
      <c r="C3" s="315"/>
      <c r="D3" s="315"/>
      <c r="E3" s="315"/>
      <c r="F3" s="315"/>
      <c r="G3" s="315"/>
      <c r="H3" s="315"/>
      <c r="I3" s="315"/>
    </row>
    <row r="4" spans="1:9" ht="18.75" customHeight="1" x14ac:dyDescent="0.25">
      <c r="A4" s="315"/>
      <c r="B4" s="315"/>
      <c r="C4" s="315"/>
      <c r="D4" s="315"/>
      <c r="E4" s="315"/>
      <c r="F4" s="315"/>
      <c r="G4" s="315"/>
      <c r="H4" s="315"/>
      <c r="I4" s="315"/>
    </row>
    <row r="5" spans="1:9" ht="18.75" customHeight="1" x14ac:dyDescent="0.25">
      <c r="A5" s="315"/>
      <c r="B5" s="315"/>
      <c r="C5" s="315"/>
      <c r="D5" s="315"/>
      <c r="E5" s="315"/>
      <c r="F5" s="315"/>
      <c r="G5" s="315"/>
      <c r="H5" s="315"/>
      <c r="I5" s="315"/>
    </row>
    <row r="6" spans="1:9" ht="18.75" customHeight="1" x14ac:dyDescent="0.25">
      <c r="A6" s="315"/>
      <c r="B6" s="315"/>
      <c r="C6" s="315"/>
      <c r="D6" s="315"/>
      <c r="E6" s="315"/>
      <c r="F6" s="315"/>
      <c r="G6" s="315"/>
      <c r="H6" s="315"/>
      <c r="I6" s="315"/>
    </row>
    <row r="7" spans="1:9" ht="18.75" customHeight="1" x14ac:dyDescent="0.25">
      <c r="A7" s="315"/>
      <c r="B7" s="315"/>
      <c r="C7" s="315"/>
      <c r="D7" s="315"/>
      <c r="E7" s="315"/>
      <c r="F7" s="315"/>
      <c r="G7" s="315"/>
      <c r="H7" s="315"/>
      <c r="I7" s="315"/>
    </row>
    <row r="8" spans="1:9" x14ac:dyDescent="0.25">
      <c r="A8" s="316" t="s">
        <v>46</v>
      </c>
      <c r="B8" s="316"/>
      <c r="C8" s="316"/>
      <c r="D8" s="316"/>
      <c r="E8" s="316"/>
      <c r="F8" s="316"/>
      <c r="G8" s="316"/>
      <c r="H8" s="316"/>
      <c r="I8" s="316"/>
    </row>
    <row r="9" spans="1:9" x14ac:dyDescent="0.25">
      <c r="A9" s="316"/>
      <c r="B9" s="316"/>
      <c r="C9" s="316"/>
      <c r="D9" s="316"/>
      <c r="E9" s="316"/>
      <c r="F9" s="316"/>
      <c r="G9" s="316"/>
      <c r="H9" s="316"/>
      <c r="I9" s="316"/>
    </row>
    <row r="10" spans="1:9" x14ac:dyDescent="0.25">
      <c r="A10" s="316"/>
      <c r="B10" s="316"/>
      <c r="C10" s="316"/>
      <c r="D10" s="316"/>
      <c r="E10" s="316"/>
      <c r="F10" s="316"/>
      <c r="G10" s="316"/>
      <c r="H10" s="316"/>
      <c r="I10" s="316"/>
    </row>
    <row r="11" spans="1:9" x14ac:dyDescent="0.25">
      <c r="A11" s="316"/>
      <c r="B11" s="316"/>
      <c r="C11" s="316"/>
      <c r="D11" s="316"/>
      <c r="E11" s="316"/>
      <c r="F11" s="316"/>
      <c r="G11" s="316"/>
      <c r="H11" s="316"/>
      <c r="I11" s="316"/>
    </row>
    <row r="12" spans="1:9" x14ac:dyDescent="0.25">
      <c r="A12" s="316"/>
      <c r="B12" s="316"/>
      <c r="C12" s="316"/>
      <c r="D12" s="316"/>
      <c r="E12" s="316"/>
      <c r="F12" s="316"/>
      <c r="G12" s="316"/>
      <c r="H12" s="316"/>
      <c r="I12" s="316"/>
    </row>
    <row r="13" spans="1:9" x14ac:dyDescent="0.25">
      <c r="A13" s="316"/>
      <c r="B13" s="316"/>
      <c r="C13" s="316"/>
      <c r="D13" s="316"/>
      <c r="E13" s="316"/>
      <c r="F13" s="316"/>
      <c r="G13" s="316"/>
      <c r="H13" s="316"/>
      <c r="I13" s="316"/>
    </row>
    <row r="14" spans="1:9" x14ac:dyDescent="0.25">
      <c r="A14" s="316"/>
      <c r="B14" s="316"/>
      <c r="C14" s="316"/>
      <c r="D14" s="316"/>
      <c r="E14" s="316"/>
      <c r="F14" s="316"/>
      <c r="G14" s="316"/>
      <c r="H14" s="316"/>
      <c r="I14" s="316"/>
    </row>
    <row r="15" spans="1:9" ht="19.5" customHeight="1" x14ac:dyDescent="0.3">
      <c r="A15" s="50"/>
    </row>
    <row r="16" spans="1:9" ht="19.5" customHeight="1" x14ac:dyDescent="0.3">
      <c r="A16" s="288" t="s">
        <v>31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47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52" t="s">
        <v>33</v>
      </c>
      <c r="B18" s="287" t="s">
        <v>5</v>
      </c>
      <c r="C18" s="287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2" t="s">
        <v>9</v>
      </c>
      <c r="C20" s="292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2" t="s">
        <v>125</v>
      </c>
      <c r="C21" s="292"/>
      <c r="D21" s="292"/>
      <c r="E21" s="292"/>
      <c r="F21" s="292"/>
      <c r="G21" s="292"/>
      <c r="H21" s="292"/>
      <c r="I21" s="56"/>
    </row>
    <row r="22" spans="1:14" ht="26.25" customHeight="1" x14ac:dyDescent="0.4">
      <c r="A22" s="52" t="s">
        <v>37</v>
      </c>
      <c r="B22" s="57" t="s">
        <v>126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 t="s">
        <v>127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7" t="str">
        <f ca="1">sitagliptin!$B$26</f>
        <v>SITAGLIPTIN PHOSPHATE</v>
      </c>
      <c r="C26" s="287"/>
    </row>
    <row r="27" spans="1:14" ht="26.25" customHeight="1" x14ac:dyDescent="0.4">
      <c r="A27" s="61" t="s">
        <v>48</v>
      </c>
      <c r="B27" s="293" t="str">
        <f ca="1">sitagliptin!$B$27</f>
        <v>WRS/S-35-1</v>
      </c>
      <c r="C27" s="293"/>
    </row>
    <row r="28" spans="1:14" ht="27" customHeight="1" x14ac:dyDescent="0.4">
      <c r="A28" s="61" t="s">
        <v>6</v>
      </c>
      <c r="B28" s="62">
        <v>96.9</v>
      </c>
    </row>
    <row r="29" spans="1:14" s="3" customFormat="1" ht="27" customHeight="1" x14ac:dyDescent="0.4">
      <c r="A29" s="61" t="s">
        <v>49</v>
      </c>
      <c r="B29" s="63">
        <v>0</v>
      </c>
      <c r="C29" s="294" t="s">
        <v>50</v>
      </c>
      <c r="D29" s="295"/>
      <c r="E29" s="295"/>
      <c r="F29" s="295"/>
      <c r="G29" s="296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96.9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407.31400000000002</v>
      </c>
      <c r="C31" s="297" t="s">
        <v>53</v>
      </c>
      <c r="D31" s="298"/>
      <c r="E31" s="298"/>
      <c r="F31" s="298"/>
      <c r="G31" s="298"/>
      <c r="H31" s="299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523.32399999999996</v>
      </c>
      <c r="C32" s="297" t="s">
        <v>55</v>
      </c>
      <c r="D32" s="298"/>
      <c r="E32" s="298"/>
      <c r="F32" s="298"/>
      <c r="G32" s="298"/>
      <c r="H32" s="299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0.77832088725149251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300" t="s">
        <v>59</v>
      </c>
      <c r="E36" s="301"/>
      <c r="F36" s="300" t="s">
        <v>60</v>
      </c>
      <c r="G36" s="302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59128453</v>
      </c>
      <c r="E38" s="85">
        <f>IF(ISBLANK(D38),"-",$D$48/$D$45*D38)</f>
        <v>55563173.205056556</v>
      </c>
      <c r="F38" s="84">
        <v>54450481</v>
      </c>
      <c r="G38" s="86">
        <f>IF(ISBLANK(F38),"-",$D$48/$F$45*F38)</f>
        <v>57253780.867041521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59261502</v>
      </c>
      <c r="E39" s="90">
        <f>IF(ISBLANK(D39),"-",$D$48/$D$45*D39)</f>
        <v>55688199.723706715</v>
      </c>
      <c r="F39" s="89">
        <v>54539545</v>
      </c>
      <c r="G39" s="91">
        <f>IF(ISBLANK(F39),"-",$D$48/$F$45*F39)</f>
        <v>57347430.191078573</v>
      </c>
      <c r="I39" s="304">
        <f>ABS((F43/D43*D42)-F42)/D42</f>
        <v>2.7584454581745622E-2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59350745</v>
      </c>
      <c r="E40" s="90">
        <f>IF(ISBLANK(D40),"-",$D$48/$D$45*D40)</f>
        <v>55772061.621232405</v>
      </c>
      <c r="F40" s="89">
        <v>54758370</v>
      </c>
      <c r="G40" s="91">
        <f>IF(ISBLANK(F40),"-",$D$48/$F$45*F40)</f>
        <v>57577521.062052339</v>
      </c>
      <c r="I40" s="304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59246900</v>
      </c>
      <c r="E42" s="100">
        <f>AVERAGE(E38:E41)</f>
        <v>55674478.183331884</v>
      </c>
      <c r="F42" s="99">
        <f>AVERAGE(F38:F41)</f>
        <v>54582798.666666664</v>
      </c>
      <c r="G42" s="101">
        <f>AVERAGE(G38:G41)</f>
        <v>57392910.706724145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14.11</v>
      </c>
      <c r="E43" s="92"/>
      <c r="F43" s="104">
        <v>12.61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10.982107719118559</v>
      </c>
      <c r="E44" s="107"/>
      <c r="F44" s="106">
        <f>F43*$B$34</f>
        <v>9.8146263882413205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10.641662379825885</v>
      </c>
      <c r="E45" s="110"/>
      <c r="F45" s="109">
        <f>F44*$B$30/100</f>
        <v>9.5103729702058395</v>
      </c>
      <c r="H45" s="102"/>
    </row>
    <row r="46" spans="1:14" ht="19.5" customHeight="1" x14ac:dyDescent="0.3">
      <c r="A46" s="305" t="s">
        <v>78</v>
      </c>
      <c r="B46" s="306"/>
      <c r="C46" s="105" t="s">
        <v>79</v>
      </c>
      <c r="D46" s="111">
        <f>D45/$B$45</f>
        <v>0.10641662379825885</v>
      </c>
      <c r="E46" s="112"/>
      <c r="F46" s="113">
        <f>F45/$B$45</f>
        <v>9.5103729702058395E-2</v>
      </c>
      <c r="H46" s="102"/>
    </row>
    <row r="47" spans="1:14" ht="27" customHeight="1" x14ac:dyDescent="0.4">
      <c r="A47" s="307"/>
      <c r="B47" s="308"/>
      <c r="C47" s="114" t="s">
        <v>80</v>
      </c>
      <c r="D47" s="115">
        <v>0.1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12.848171189794604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56533694.445028029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1.6794120782959266E-2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 xml:space="preserve">Eacl Tablet contains: Sitagliptin 100mg    phosphate INN Equivalent to 100 mg Sitagliptin </v>
      </c>
    </row>
    <row r="56" spans="1:12" ht="26.25" customHeight="1" x14ac:dyDescent="0.4">
      <c r="A56" s="129" t="s">
        <v>87</v>
      </c>
      <c r="B56" s="130">
        <v>100</v>
      </c>
      <c r="C56" s="51" t="str">
        <f>B20</f>
        <v>Sitagliptin</v>
      </c>
      <c r="H56" s="131"/>
    </row>
    <row r="57" spans="1:12" ht="18.75" x14ac:dyDescent="0.3">
      <c r="A57" s="128" t="s">
        <v>88</v>
      </c>
      <c r="B57" s="220">
        <f>Uniformity!C46</f>
        <v>461.73949999999985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10</v>
      </c>
      <c r="C60" s="309" t="s">
        <v>94</v>
      </c>
      <c r="D60" s="312">
        <v>202.49</v>
      </c>
      <c r="E60" s="134">
        <v>1</v>
      </c>
      <c r="F60" s="135">
        <v>44426936</v>
      </c>
      <c r="G60" s="221">
        <f>IF(ISBLANK(F60),"-",(F60/$D$50*$D$47*$B$68)*($B$57/$D$60))</f>
        <v>89.598852408575809</v>
      </c>
      <c r="H60" s="136">
        <f t="shared" ref="H60:H71" si="0">IF(ISBLANK(F60),"-",G60/$B$56)</f>
        <v>0.89598852408575813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10"/>
      <c r="D61" s="313"/>
      <c r="E61" s="137">
        <v>2</v>
      </c>
      <c r="F61" s="89">
        <v>44496764</v>
      </c>
      <c r="G61" s="222">
        <f>IF(ISBLANK(F61),"-",(F61/$D$50*$D$47*$B$68)*($B$57/$D$60))</f>
        <v>89.739679330918278</v>
      </c>
      <c r="H61" s="138">
        <f t="shared" si="0"/>
        <v>0.89739679330918276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310"/>
      <c r="D62" s="313"/>
      <c r="E62" s="137">
        <v>3</v>
      </c>
      <c r="F62" s="139">
        <v>44609130</v>
      </c>
      <c r="G62" s="222">
        <f>IF(ISBLANK(F62),"-",(F62/$D$50*$D$47*$B$68)*($B$57/$D$60))</f>
        <v>89.966295558734245</v>
      </c>
      <c r="H62" s="138">
        <f t="shared" si="0"/>
        <v>0.89966295558734244</v>
      </c>
      <c r="L62" s="64"/>
    </row>
    <row r="63" spans="1:12" ht="27" customHeight="1" x14ac:dyDescent="0.4">
      <c r="A63" s="76" t="s">
        <v>97</v>
      </c>
      <c r="B63" s="77">
        <v>1</v>
      </c>
      <c r="C63" s="311"/>
      <c r="D63" s="314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9" t="s">
        <v>99</v>
      </c>
      <c r="D64" s="312">
        <v>207.7</v>
      </c>
      <c r="E64" s="134">
        <v>1</v>
      </c>
      <c r="F64" s="135">
        <v>46711012</v>
      </c>
      <c r="G64" s="223">
        <f>IF(ISBLANK(F64),"-",(F64/$D$50*$D$47*$B$68)*($B$57/$D$64))</f>
        <v>91.842235305831792</v>
      </c>
      <c r="H64" s="142">
        <f t="shared" si="0"/>
        <v>0.91842235305831788</v>
      </c>
    </row>
    <row r="65" spans="1:8" ht="26.25" customHeight="1" x14ac:dyDescent="0.4">
      <c r="A65" s="76" t="s">
        <v>100</v>
      </c>
      <c r="B65" s="77">
        <v>1</v>
      </c>
      <c r="C65" s="310"/>
      <c r="D65" s="313"/>
      <c r="E65" s="137">
        <v>2</v>
      </c>
      <c r="F65" s="89">
        <v>46744070</v>
      </c>
      <c r="G65" s="224">
        <f>IF(ISBLANK(F65),"-",(F65/$D$50*$D$47*$B$68)*($B$57/$D$64))</f>
        <v>91.907233268512229</v>
      </c>
      <c r="H65" s="143">
        <f t="shared" si="0"/>
        <v>0.91907233268512234</v>
      </c>
    </row>
    <row r="66" spans="1:8" ht="26.25" customHeight="1" x14ac:dyDescent="0.4">
      <c r="A66" s="76" t="s">
        <v>101</v>
      </c>
      <c r="B66" s="77">
        <v>1</v>
      </c>
      <c r="C66" s="310"/>
      <c r="D66" s="313"/>
      <c r="E66" s="137">
        <v>3</v>
      </c>
      <c r="F66" s="89">
        <v>46835392</v>
      </c>
      <c r="G66" s="224">
        <f>IF(ISBLANK(F66),"-",(F66/$D$50*$D$47*$B$68)*($B$57/$D$64))</f>
        <v>92.086788714936702</v>
      </c>
      <c r="H66" s="143">
        <f t="shared" si="0"/>
        <v>0.92086788714936707</v>
      </c>
    </row>
    <row r="67" spans="1:8" ht="27" customHeight="1" x14ac:dyDescent="0.4">
      <c r="A67" s="76" t="s">
        <v>102</v>
      </c>
      <c r="B67" s="77">
        <v>1</v>
      </c>
      <c r="C67" s="311"/>
      <c r="D67" s="314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500</v>
      </c>
      <c r="C68" s="309" t="s">
        <v>104</v>
      </c>
      <c r="D68" s="312">
        <v>204.14</v>
      </c>
      <c r="E68" s="134">
        <v>1</v>
      </c>
      <c r="F68" s="135">
        <v>46976996</v>
      </c>
      <c r="G68" s="223">
        <f>IF(ISBLANK(F68),"-",(F68/$D$50*$D$47*$B$68)*($B$57/$D$68))</f>
        <v>93.975965604738164</v>
      </c>
      <c r="H68" s="138">
        <f t="shared" si="0"/>
        <v>0.93975965604738165</v>
      </c>
    </row>
    <row r="69" spans="1:8" ht="27" customHeight="1" x14ac:dyDescent="0.4">
      <c r="A69" s="124" t="s">
        <v>105</v>
      </c>
      <c r="B69" s="146">
        <f>(D47*B68)/B56*B57</f>
        <v>230.86974999999993</v>
      </c>
      <c r="C69" s="310"/>
      <c r="D69" s="313"/>
      <c r="E69" s="137">
        <v>2</v>
      </c>
      <c r="F69" s="89">
        <v>46881040</v>
      </c>
      <c r="G69" s="224">
        <f>IF(ISBLANK(F69),"-",(F69/$D$50*$D$47*$B$68)*($B$57/$D$68))</f>
        <v>93.784008721084561</v>
      </c>
      <c r="H69" s="138">
        <f t="shared" si="0"/>
        <v>0.93784008721084566</v>
      </c>
    </row>
    <row r="70" spans="1:8" ht="26.25" customHeight="1" x14ac:dyDescent="0.4">
      <c r="A70" s="322" t="s">
        <v>78</v>
      </c>
      <c r="B70" s="323"/>
      <c r="C70" s="310"/>
      <c r="D70" s="313"/>
      <c r="E70" s="137">
        <v>3</v>
      </c>
      <c r="F70" s="89">
        <v>47067410</v>
      </c>
      <c r="G70" s="224">
        <f>IF(ISBLANK(F70),"-",(F70/$D$50*$D$47*$B$68)*($B$57/$D$68))</f>
        <v>94.156835896107751</v>
      </c>
      <c r="H70" s="138">
        <f t="shared" si="0"/>
        <v>0.94156835896107749</v>
      </c>
    </row>
    <row r="71" spans="1:8" ht="27" customHeight="1" x14ac:dyDescent="0.4">
      <c r="A71" s="324"/>
      <c r="B71" s="325"/>
      <c r="C71" s="321"/>
      <c r="D71" s="314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91.895321645493283</v>
      </c>
      <c r="H72" s="151">
        <f>AVERAGE(H60:H71)</f>
        <v>0.91895321645493278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1.9877057252999635E-2</v>
      </c>
      <c r="H73" s="226">
        <f>STDEV(H60:H71)/H72</f>
        <v>1.9877057252999642E-2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317" t="str">
        <f>B20</f>
        <v>Sitagliptin</v>
      </c>
      <c r="D76" s="317"/>
      <c r="E76" s="157" t="s">
        <v>108</v>
      </c>
      <c r="F76" s="157"/>
      <c r="G76" s="158">
        <f>H72</f>
        <v>0.91895321645493278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3" t="str">
        <f ca="1">B26</f>
        <v>SITAGLIPTIN PHOSPHATE</v>
      </c>
      <c r="C79" s="303"/>
    </row>
    <row r="80" spans="1:8" ht="26.25" customHeight="1" x14ac:dyDescent="0.4">
      <c r="A80" s="61" t="s">
        <v>48</v>
      </c>
      <c r="B80" s="303" t="str">
        <f ca="1">B27</f>
        <v>WRS/S-35-1</v>
      </c>
      <c r="C80" s="303"/>
    </row>
    <row r="81" spans="1:12" ht="27" customHeight="1" x14ac:dyDescent="0.4">
      <c r="A81" s="61" t="s">
        <v>6</v>
      </c>
      <c r="B81" s="160">
        <f>B28</f>
        <v>96.9</v>
      </c>
    </row>
    <row r="82" spans="1:12" s="3" customFormat="1" ht="27" customHeight="1" x14ac:dyDescent="0.4">
      <c r="A82" s="61" t="s">
        <v>49</v>
      </c>
      <c r="B82" s="63">
        <v>0</v>
      </c>
      <c r="C82" s="294" t="s">
        <v>50</v>
      </c>
      <c r="D82" s="295"/>
      <c r="E82" s="295"/>
      <c r="F82" s="295"/>
      <c r="G82" s="296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96.9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407.31400000000002</v>
      </c>
      <c r="C84" s="297" t="s">
        <v>111</v>
      </c>
      <c r="D84" s="298"/>
      <c r="E84" s="298"/>
      <c r="F84" s="298"/>
      <c r="G84" s="298"/>
      <c r="H84" s="299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523.32399999999996</v>
      </c>
      <c r="C85" s="297" t="s">
        <v>112</v>
      </c>
      <c r="D85" s="298"/>
      <c r="E85" s="298"/>
      <c r="F85" s="298"/>
      <c r="G85" s="298"/>
      <c r="H85" s="299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0.77832088725149251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61" t="s">
        <v>59</v>
      </c>
      <c r="E89" s="162"/>
      <c r="F89" s="300" t="s">
        <v>60</v>
      </c>
      <c r="G89" s="302"/>
    </row>
    <row r="90" spans="1:12" ht="27" customHeight="1" x14ac:dyDescent="0.4">
      <c r="A90" s="76" t="s">
        <v>61</v>
      </c>
      <c r="B90" s="77">
        <v>10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9285311</v>
      </c>
      <c r="E91" s="85">
        <f>IF(ISBLANK(D91),"-",$D$101/$D$98*D91)</f>
        <v>10690481.126093194</v>
      </c>
      <c r="F91" s="84">
        <v>8839371</v>
      </c>
      <c r="G91" s="86">
        <f>IF(ISBLANK(F91),"-",$D$101/$F$98*F91)</f>
        <v>10798143.196233211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9335750</v>
      </c>
      <c r="E92" s="90">
        <f>IF(ISBLANK(D92),"-",$D$101/$D$98*D92)</f>
        <v>10748553.190401973</v>
      </c>
      <c r="F92" s="89">
        <v>8876716</v>
      </c>
      <c r="G92" s="91">
        <f>IF(ISBLANK(F92),"-",$D$101/$F$98*F92)</f>
        <v>10843763.71127476</v>
      </c>
      <c r="I92" s="304">
        <f>ABS((F96/D96*D95)-F95)/D95</f>
        <v>8.2345111498217279E-3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9327888</v>
      </c>
      <c r="E93" s="90">
        <f>IF(ISBLANK(D93),"-",$D$101/$D$98*D93)</f>
        <v>10739501.413610293</v>
      </c>
      <c r="F93" s="89">
        <v>8855441</v>
      </c>
      <c r="G93" s="91">
        <f>IF(ISBLANK(F93),"-",$D$101/$F$98*F93)</f>
        <v>10817774.249298353</v>
      </c>
      <c r="I93" s="304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9316316.333333334</v>
      </c>
      <c r="E95" s="100">
        <f>AVERAGE(E91:E94)</f>
        <v>10726178.57670182</v>
      </c>
      <c r="F95" s="170">
        <f>AVERAGE(F91:F94)</f>
        <v>8857176</v>
      </c>
      <c r="G95" s="171">
        <f>AVERAGE(G91:G94)</f>
        <v>10819893.718935441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31.99</v>
      </c>
      <c r="E96" s="92"/>
      <c r="F96" s="104">
        <v>30.15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24.898485183175243</v>
      </c>
      <c r="E97" s="107"/>
      <c r="F97" s="106">
        <f>F96*$B$87</f>
        <v>23.466374750632497</v>
      </c>
    </row>
    <row r="98" spans="1:10" ht="19.5" customHeight="1" x14ac:dyDescent="0.3">
      <c r="A98" s="76" t="s">
        <v>76</v>
      </c>
      <c r="B98" s="176">
        <f>(B97/B96)*(B95/B94)*(B93/B92)*(B91/B90)*B89</f>
        <v>500</v>
      </c>
      <c r="C98" s="174" t="s">
        <v>115</v>
      </c>
      <c r="D98" s="177">
        <f>D97*$B$83/100</f>
        <v>24.12663214249681</v>
      </c>
      <c r="E98" s="110"/>
      <c r="F98" s="109">
        <f>F97*$B$83/100</f>
        <v>22.738917133362893</v>
      </c>
    </row>
    <row r="99" spans="1:10" ht="19.5" customHeight="1" x14ac:dyDescent="0.3">
      <c r="A99" s="305" t="s">
        <v>78</v>
      </c>
      <c r="B99" s="319"/>
      <c r="C99" s="174" t="s">
        <v>116</v>
      </c>
      <c r="D99" s="178">
        <f>D98/$B$98</f>
        <v>4.8253264284993616E-2</v>
      </c>
      <c r="E99" s="110"/>
      <c r="F99" s="113">
        <f>F98/$B$98</f>
        <v>4.5477834266725789E-2</v>
      </c>
      <c r="G99" s="179"/>
      <c r="H99" s="102"/>
    </row>
    <row r="100" spans="1:10" ht="19.5" customHeight="1" x14ac:dyDescent="0.3">
      <c r="A100" s="307"/>
      <c r="B100" s="320"/>
      <c r="C100" s="174" t="s">
        <v>80</v>
      </c>
      <c r="D100" s="180">
        <f>$B$56/$B$116</f>
        <v>5.5555555555555552E-2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27.777777777777775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35.689364416096119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10773036.147818631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5.2793431909499292E-3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5</v>
      </c>
      <c r="C108" s="195">
        <v>1</v>
      </c>
      <c r="D108" s="196">
        <v>10066043</v>
      </c>
      <c r="E108" s="227">
        <f t="shared" ref="E108:E113" si="1">IF(ISBLANK(D108),"-",D108/$D$103*$D$100*$B$116)</f>
        <v>93.437382571469541</v>
      </c>
      <c r="F108" s="197">
        <f t="shared" ref="F108:F113" si="2">IF(ISBLANK(D108), "-", E108/$B$56)</f>
        <v>0.93437382571469541</v>
      </c>
    </row>
    <row r="109" spans="1:10" ht="26.25" customHeight="1" x14ac:dyDescent="0.4">
      <c r="A109" s="76" t="s">
        <v>95</v>
      </c>
      <c r="B109" s="77">
        <v>10</v>
      </c>
      <c r="C109" s="195">
        <v>2</v>
      </c>
      <c r="D109" s="196">
        <v>10582791</v>
      </c>
      <c r="E109" s="228">
        <f t="shared" si="1"/>
        <v>98.2340619189591</v>
      </c>
      <c r="F109" s="198">
        <f t="shared" si="2"/>
        <v>0.98234061918959104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10418511</v>
      </c>
      <c r="E110" s="228">
        <f t="shared" si="1"/>
        <v>96.709143616023084</v>
      </c>
      <c r="F110" s="198">
        <f t="shared" si="2"/>
        <v>0.96709143616023086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10344090</v>
      </c>
      <c r="E111" s="228">
        <f t="shared" si="1"/>
        <v>96.018335574735019</v>
      </c>
      <c r="F111" s="198">
        <f t="shared" si="2"/>
        <v>0.96018335574735014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10501584</v>
      </c>
      <c r="E112" s="228">
        <f t="shared" si="1"/>
        <v>97.480263278671018</v>
      </c>
      <c r="F112" s="198">
        <f t="shared" si="2"/>
        <v>0.9748026327867102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10718992</v>
      </c>
      <c r="E113" s="229">
        <f t="shared" si="1"/>
        <v>99.498338749846539</v>
      </c>
      <c r="F113" s="201">
        <f t="shared" si="2"/>
        <v>0.99498338749846538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96.896254284950714</v>
      </c>
      <c r="F115" s="204">
        <f>AVERAGE(F108:F113)</f>
        <v>0.96896254284950734</v>
      </c>
    </row>
    <row r="116" spans="1:10" ht="27" customHeight="1" x14ac:dyDescent="0.4">
      <c r="A116" s="76" t="s">
        <v>103</v>
      </c>
      <c r="B116" s="108">
        <f>(B115/B114)*(B113/B112)*(B111/B110)*(B109/B108)*B107</f>
        <v>1800</v>
      </c>
      <c r="C116" s="205"/>
      <c r="D116" s="168" t="s">
        <v>84</v>
      </c>
      <c r="E116" s="206">
        <f>STDEV(E108:E113)/E115</f>
        <v>2.1485691418330368E-2</v>
      </c>
      <c r="F116" s="206">
        <f>STDEV(F108:F113)/F115</f>
        <v>2.1485691418330372E-2</v>
      </c>
      <c r="I116" s="50"/>
    </row>
    <row r="117" spans="1:10" ht="27" customHeight="1" x14ac:dyDescent="0.4">
      <c r="A117" s="305" t="s">
        <v>78</v>
      </c>
      <c r="B117" s="306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307"/>
      <c r="B118" s="308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317" t="str">
        <f>B20</f>
        <v>Sitagliptin</v>
      </c>
      <c r="D120" s="317"/>
      <c r="E120" s="157" t="s">
        <v>124</v>
      </c>
      <c r="F120" s="157"/>
      <c r="G120" s="158">
        <f>F115</f>
        <v>0.96896254284950734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318" t="s">
        <v>26</v>
      </c>
      <c r="C122" s="318"/>
      <c r="E122" s="163" t="s">
        <v>27</v>
      </c>
      <c r="F122" s="212"/>
      <c r="G122" s="318" t="s">
        <v>28</v>
      </c>
      <c r="H122" s="318"/>
    </row>
    <row r="123" spans="1:10" ht="41.2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38.2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 (2)</vt:lpstr>
      <vt:lpstr>Uniformity</vt:lpstr>
      <vt:lpstr>sitagliptin</vt:lpstr>
      <vt:lpstr>Uniformity!Print_Area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2016-07-12T14:22:09Z</cp:lastPrinted>
  <dcterms:created xsi:type="dcterms:W3CDTF">2005-07-05T10:19:27Z</dcterms:created>
  <dcterms:modified xsi:type="dcterms:W3CDTF">2016-08-09T12:48:10Z</dcterms:modified>
</cp:coreProperties>
</file>