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28" windowWidth="20772" windowHeight="11448" activeTab="3"/>
  </bookViews>
  <sheets>
    <sheet name="SST" sheetId="1" r:id="rId1"/>
    <sheet name="SST (2)" sheetId="8" r:id="rId2"/>
    <sheet name="Uniformity" sheetId="2" r:id="rId3"/>
    <sheet name="Sitagliptin" sheetId="3" r:id="rId4"/>
    <sheet name="Metformin Hydrochloride" sheetId="4" r:id="rId5"/>
  </sheets>
  <definedNames>
    <definedName name="_xlnm.Print_Area" localSheetId="3">Sitagliptin!$A$1:$H$125</definedName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D100" i="3" l="1"/>
  <c r="F109" i="4"/>
  <c r="F108" i="4"/>
  <c r="D100" i="4"/>
  <c r="B32" i="1"/>
  <c r="B31" i="1"/>
  <c r="B22" i="1"/>
  <c r="B32" i="3" l="1"/>
  <c r="D47" i="3"/>
  <c r="D47" i="4"/>
  <c r="B21" i="8" l="1"/>
  <c r="B53" i="8"/>
  <c r="E51" i="8"/>
  <c r="D51" i="8"/>
  <c r="C51" i="8"/>
  <c r="B51" i="8"/>
  <c r="B52" i="8" s="1"/>
  <c r="B32" i="8"/>
  <c r="E30" i="8"/>
  <c r="D30" i="8"/>
  <c r="C30" i="8"/>
  <c r="B30" i="8"/>
  <c r="B31" i="8" s="1"/>
  <c r="C120" i="4" l="1"/>
  <c r="B116" i="4"/>
  <c r="B98" i="4"/>
  <c r="F95" i="4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I39" i="4" s="1"/>
  <c r="B34" i="4"/>
  <c r="F44" i="4" s="1"/>
  <c r="B30" i="4"/>
  <c r="C120" i="3"/>
  <c r="B116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F45" i="3" s="1"/>
  <c r="B30" i="3"/>
  <c r="C46" i="2"/>
  <c r="C50" i="2" s="1"/>
  <c r="C45" i="2"/>
  <c r="C19" i="2"/>
  <c r="B54" i="1"/>
  <c r="E52" i="1"/>
  <c r="D52" i="1"/>
  <c r="C52" i="1"/>
  <c r="B52" i="1"/>
  <c r="B53" i="1" s="1"/>
  <c r="B33" i="1"/>
  <c r="E31" i="1"/>
  <c r="D31" i="1"/>
  <c r="C31" i="1"/>
  <c r="D29" i="2" l="1"/>
  <c r="D101" i="3"/>
  <c r="D102" i="3" s="1"/>
  <c r="I92" i="3"/>
  <c r="D97" i="3"/>
  <c r="D98" i="3" s="1"/>
  <c r="D99" i="3" s="1"/>
  <c r="I39" i="3"/>
  <c r="F98" i="3"/>
  <c r="F99" i="3" s="1"/>
  <c r="D49" i="3"/>
  <c r="D44" i="3"/>
  <c r="D45" i="3" s="1"/>
  <c r="I92" i="4"/>
  <c r="D101" i="4"/>
  <c r="D102" i="4" s="1"/>
  <c r="F97" i="4"/>
  <c r="F98" i="4" s="1"/>
  <c r="F45" i="4"/>
  <c r="F46" i="4" s="1"/>
  <c r="G41" i="4"/>
  <c r="D44" i="4"/>
  <c r="D45" i="4" s="1"/>
  <c r="E39" i="4" s="1"/>
  <c r="F46" i="3"/>
  <c r="G41" i="3"/>
  <c r="D25" i="2"/>
  <c r="D33" i="2"/>
  <c r="D37" i="2"/>
  <c r="D27" i="2"/>
  <c r="D31" i="2"/>
  <c r="D35" i="2"/>
  <c r="D39" i="2"/>
  <c r="D43" i="2"/>
  <c r="C49" i="2"/>
  <c r="G40" i="3"/>
  <c r="D98" i="4"/>
  <c r="D24" i="2"/>
  <c r="D28" i="2"/>
  <c r="D32" i="2"/>
  <c r="D36" i="2"/>
  <c r="D40" i="2"/>
  <c r="D49" i="2"/>
  <c r="G39" i="3"/>
  <c r="B57" i="3"/>
  <c r="B69" i="3" s="1"/>
  <c r="D49" i="4"/>
  <c r="G38" i="4"/>
  <c r="D41" i="2"/>
  <c r="B57" i="4"/>
  <c r="B69" i="4" s="1"/>
  <c r="D26" i="2"/>
  <c r="D30" i="2"/>
  <c r="D34" i="2"/>
  <c r="D38" i="2"/>
  <c r="D42" i="2"/>
  <c r="B49" i="2"/>
  <c r="D50" i="2"/>
  <c r="G38" i="3"/>
  <c r="G94" i="3" l="1"/>
  <c r="G93" i="3"/>
  <c r="G91" i="3"/>
  <c r="G92" i="3"/>
  <c r="G42" i="3"/>
  <c r="E38" i="3"/>
  <c r="E40" i="3"/>
  <c r="E41" i="3"/>
  <c r="D46" i="3"/>
  <c r="E39" i="3"/>
  <c r="E94" i="4"/>
  <c r="E91" i="4"/>
  <c r="G91" i="4"/>
  <c r="G92" i="4"/>
  <c r="G93" i="4"/>
  <c r="F99" i="4"/>
  <c r="G94" i="4"/>
  <c r="G40" i="4"/>
  <c r="E92" i="4"/>
  <c r="E40" i="4"/>
  <c r="G39" i="4"/>
  <c r="E41" i="4"/>
  <c r="D46" i="4"/>
  <c r="E38" i="4"/>
  <c r="E93" i="3"/>
  <c r="E92" i="3"/>
  <c r="E94" i="3"/>
  <c r="D99" i="4"/>
  <c r="E93" i="4"/>
  <c r="E91" i="3"/>
  <c r="G42" i="4" l="1"/>
  <c r="G95" i="3"/>
  <c r="D50" i="3"/>
  <c r="G68" i="3" s="1"/>
  <c r="H68" i="3" s="1"/>
  <c r="D52" i="3"/>
  <c r="G63" i="3"/>
  <c r="H63" i="3" s="1"/>
  <c r="E42" i="3"/>
  <c r="D105" i="4"/>
  <c r="G95" i="4"/>
  <c r="E95" i="4"/>
  <c r="D52" i="4"/>
  <c r="D103" i="4"/>
  <c r="E108" i="4" s="1"/>
  <c r="D50" i="4"/>
  <c r="E42" i="4"/>
  <c r="E95" i="3"/>
  <c r="D103" i="3"/>
  <c r="D105" i="3"/>
  <c r="G69" i="3" l="1"/>
  <c r="H69" i="3" s="1"/>
  <c r="D51" i="3"/>
  <c r="G62" i="3"/>
  <c r="H62" i="3" s="1"/>
  <c r="G71" i="3"/>
  <c r="H71" i="3" s="1"/>
  <c r="G66" i="3"/>
  <c r="H66" i="3" s="1"/>
  <c r="G67" i="3"/>
  <c r="H67" i="3" s="1"/>
  <c r="G61" i="3"/>
  <c r="H61" i="3" s="1"/>
  <c r="G70" i="3"/>
  <c r="H70" i="3" s="1"/>
  <c r="G60" i="3"/>
  <c r="H60" i="3" s="1"/>
  <c r="G64" i="3"/>
  <c r="H64" i="3" s="1"/>
  <c r="G65" i="3"/>
  <c r="H65" i="3" s="1"/>
  <c r="E113" i="4"/>
  <c r="F113" i="4" s="1"/>
  <c r="E111" i="4"/>
  <c r="F111" i="4" s="1"/>
  <c r="E110" i="4"/>
  <c r="F110" i="4" s="1"/>
  <c r="E109" i="4"/>
  <c r="E112" i="4"/>
  <c r="F112" i="4" s="1"/>
  <c r="D104" i="4"/>
  <c r="D51" i="4"/>
  <c r="G69" i="4"/>
  <c r="H69" i="4" s="1"/>
  <c r="G70" i="4"/>
  <c r="H70" i="4" s="1"/>
  <c r="G61" i="4"/>
  <c r="H61" i="4" s="1"/>
  <c r="G62" i="4"/>
  <c r="H62" i="4" s="1"/>
  <c r="G67" i="4"/>
  <c r="H67" i="4" s="1"/>
  <c r="G71" i="4"/>
  <c r="H71" i="4" s="1"/>
  <c r="G60" i="4"/>
  <c r="G68" i="4"/>
  <c r="H68" i="4" s="1"/>
  <c r="G65" i="4"/>
  <c r="H65" i="4" s="1"/>
  <c r="G64" i="4"/>
  <c r="H64" i="4" s="1"/>
  <c r="G66" i="4"/>
  <c r="H66" i="4" s="1"/>
  <c r="G63" i="4"/>
  <c r="H63" i="4" s="1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4" i="3" l="1"/>
  <c r="H72" i="3"/>
  <c r="G76" i="3" s="1"/>
  <c r="H74" i="3"/>
  <c r="G72" i="3"/>
  <c r="G73" i="3" s="1"/>
  <c r="E115" i="4"/>
  <c r="E116" i="4" s="1"/>
  <c r="E117" i="4"/>
  <c r="H60" i="4"/>
  <c r="G72" i="4"/>
  <c r="G73" i="4" s="1"/>
  <c r="G74" i="4"/>
  <c r="E115" i="3"/>
  <c r="E116" i="3" s="1"/>
  <c r="E117" i="3"/>
  <c r="F108" i="3"/>
  <c r="F117" i="4"/>
  <c r="F115" i="4"/>
  <c r="H73" i="3" l="1"/>
  <c r="H72" i="4"/>
  <c r="H74" i="4"/>
  <c r="F117" i="3"/>
  <c r="F115" i="3"/>
  <c r="G120" i="4"/>
  <c r="F116" i="4"/>
  <c r="H73" i="4" l="1"/>
  <c r="G76" i="4"/>
  <c r="G120" i="3"/>
  <c r="F116" i="3"/>
</calcChain>
</file>

<file path=xl/sharedStrings.xml><?xml version="1.0" encoding="utf-8"?>
<sst xmlns="http://schemas.openxmlformats.org/spreadsheetml/2006/main" count="435" uniqueCount="136">
  <si>
    <t>HPLC System Suitability Report</t>
  </si>
  <si>
    <t>Analysis Data</t>
  </si>
  <si>
    <t>Sample(s)</t>
  </si>
  <si>
    <t>Reference Substance:</t>
  </si>
  <si>
    <t>GLIPITA -M 50/500 TABLETS</t>
  </si>
  <si>
    <t>% age Purity:</t>
  </si>
  <si>
    <t>NDQD201510447</t>
  </si>
  <si>
    <t>Weight (mg):</t>
  </si>
  <si>
    <t>Sitagliptin Phosphate, Metformin Hydrochloride</t>
  </si>
  <si>
    <t>Standard Conc (mg/mL):</t>
  </si>
  <si>
    <t>Eacl Tablet contains: Sitagliptin 50mg    phosphate INN Equivalent to 50 mg Sitagliptin , Metformin Hdrochloride 500 mg</t>
  </si>
  <si>
    <t>2015-10-26 09:29:48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</si>
  <si>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</si>
  <si>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</si>
  <si>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</si>
  <si>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</si>
  <si>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</si>
  <si>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</si>
  <si>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</si>
  <si>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</si>
  <si>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</si>
  <si>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</si>
  <si>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</si>
  <si>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</si>
  <si>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</si>
  <si>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</si>
  <si>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</si>
  <si>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</si>
  <si>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</si>
  <si>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</si>
  <si>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</si>
  <si>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</si>
  <si>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</si>
  <si>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</si>
  <si>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</si>
  <si>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</si>
  <si>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</si>
  <si>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</si>
  <si>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</si>
  <si>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</si>
  <si>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</si>
  <si>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</si>
  <si>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</si>
  <si>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</si>
  <si>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</si>
  <si>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</si>
  <si>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</si>
  <si>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</si>
  <si>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</si>
  <si>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</si>
  <si>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</si>
  <si>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</si>
  <si>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</si>
  <si>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</si>
  <si>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</si>
  <si>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</si>
  <si>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</si>
  <si>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</si>
  <si>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</si>
  <si>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</si>
  <si>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</si>
  <si>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</si>
  <si>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</si>
  <si>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</si>
  <si>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</si>
  <si>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</si>
  <si>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</si>
  <si>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</si>
  <si>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</si>
  <si>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</si>
  <si>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</si>
  <si>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</si>
  <si>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</si>
  <si>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</si>
  <si>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</si>
  <si>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</si>
  <si>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</si>
  <si>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</si>
  <si>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</si>
  <si>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</si>
  <si>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</si>
  <si>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</si>
  <si>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</si>
  <si>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</si>
  <si>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</si>
  <si>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</si>
  <si>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</si>
  <si>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</si>
  <si>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</si>
  <si>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</si>
  <si>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</si>
  <si>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</si>
  <si>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</si>
  <si>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</si>
  <si>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</si>
  <si>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</si>
  <si>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</si>
  <si>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</si>
  <si>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</si>
  <si>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</si>
  <si>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</si>
  <si>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</si>
  <si>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</si>
  <si>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</si>
  <si>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</si>
  <si>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</si>
  <si>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</si>
  <si>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</si>
  <si>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</si>
  <si>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</si>
  <si>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</si>
  <si>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</si>
  <si>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</si>
  <si>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</si>
  <si>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</si>
  <si>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</si>
  <si>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</si>
  <si>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</si>
  <si>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</si>
  <si>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</si>
  <si>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</si>
  <si>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</si>
  <si>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</si>
  <si>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Metformin Hydrochloride</t>
  </si>
  <si>
    <t>M19-4</t>
  </si>
  <si>
    <t>S35-1</t>
  </si>
  <si>
    <t>Sitagliptin phosphate</t>
  </si>
  <si>
    <t>Sitagliptin Phosphate Monohydrate</t>
  </si>
  <si>
    <t>Metformin Hcl</t>
  </si>
  <si>
    <t>Eacl tablet contains: Sitagliptin phosphate INN Equivalent to 50 mg Sitagliptin and Metformin Hydrochloride 500 mg</t>
  </si>
  <si>
    <t>Sitagliptin (as Phosphate)</t>
  </si>
  <si>
    <t>Tablet No.</t>
  </si>
  <si>
    <t>Assay and Dissolution</t>
  </si>
  <si>
    <t>GLIPITA-M 50/500 TABLETS</t>
  </si>
  <si>
    <t>Average Tablet Weight (mg):</t>
  </si>
  <si>
    <t>1 mg of  salt is equivalent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</si>
</sst>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7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0" fontId="13" fillId="6" borderId="57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168" fontId="14" fillId="3" borderId="0" xfId="0" applyNumberFormat="1" applyFont="1" applyFill="1" applyAlignment="1" applyProtection="1">
      <alignment horizontal="center"/>
      <protection locked="0"/>
    </xf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1" fillId="2" borderId="10" xfId="0" applyFont="1" applyFill="1" applyBorder="1" applyAlignment="1">
      <alignment horizontal="center"/>
    </xf>
    <xf numFmtId="22" fontId="6" fillId="2" borderId="0" xfId="0" applyNumberFormat="1" applyFont="1" applyFill="1"/>
    <xf numFmtId="0" fontId="3" fillId="2" borderId="0" xfId="0" applyFont="1" applyFill="1" applyAlignment="1">
      <alignment horizontal="center"/>
    </xf>
    <xf numFmtId="173" fontId="5" fillId="4" borderId="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1" fillId="2" borderId="26" xfId="0" applyNumberFormat="1" applyFont="1" applyFill="1" applyBorder="1" applyAlignment="1">
      <alignment horizontal="center"/>
    </xf>
    <xf numFmtId="2" fontId="11" fillId="2" borderId="31" xfId="0" applyNumberFormat="1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71" fontId="11" fillId="2" borderId="60" xfId="0" applyNumberFormat="1" applyFont="1" applyFill="1" applyBorder="1" applyAlignment="1">
      <alignment horizontal="right"/>
    </xf>
    <xf numFmtId="0" fontId="11" fillId="2" borderId="61" xfId="0" applyFont="1" applyFill="1" applyBorder="1" applyAlignment="1">
      <alignment horizontal="right"/>
    </xf>
    <xf numFmtId="0" fontId="11" fillId="2" borderId="59" xfId="0" applyFont="1" applyFill="1" applyBorder="1" applyAlignment="1">
      <alignment horizontal="right"/>
    </xf>
    <xf numFmtId="0" fontId="12" fillId="2" borderId="64" xfId="0" applyFont="1" applyFill="1" applyBorder="1" applyAlignment="1">
      <alignment horizontal="center"/>
    </xf>
    <xf numFmtId="0" fontId="12" fillId="2" borderId="65" xfId="0" applyFont="1" applyFill="1" applyBorder="1" applyAlignment="1">
      <alignment horizontal="center"/>
    </xf>
    <xf numFmtId="0" fontId="13" fillId="3" borderId="66" xfId="0" applyFont="1" applyFill="1" applyBorder="1" applyAlignment="1" applyProtection="1">
      <alignment horizontal="center"/>
      <protection locked="0"/>
    </xf>
    <xf numFmtId="171" fontId="11" fillId="2" borderId="67" xfId="0" applyNumberFormat="1" applyFont="1" applyFill="1" applyBorder="1" applyAlignment="1">
      <alignment horizontal="center"/>
    </xf>
    <xf numFmtId="0" fontId="13" fillId="3" borderId="68" xfId="0" applyFont="1" applyFill="1" applyBorder="1" applyAlignment="1" applyProtection="1">
      <alignment horizontal="center"/>
      <protection locked="0"/>
    </xf>
    <xf numFmtId="171" fontId="11" fillId="2" borderId="69" xfId="0" applyNumberFormat="1" applyFont="1" applyFill="1" applyBorder="1" applyAlignment="1">
      <alignment horizontal="center"/>
    </xf>
    <xf numFmtId="0" fontId="13" fillId="3" borderId="70" xfId="0" applyFont="1" applyFill="1" applyBorder="1" applyAlignment="1" applyProtection="1">
      <alignment horizontal="center"/>
      <protection locked="0"/>
    </xf>
    <xf numFmtId="171" fontId="11" fillId="2" borderId="71" xfId="0" applyNumberFormat="1" applyFont="1" applyFill="1" applyBorder="1" applyAlignment="1">
      <alignment horizontal="center"/>
    </xf>
    <xf numFmtId="1" fontId="12" fillId="6" borderId="72" xfId="0" applyNumberFormat="1" applyFont="1" applyFill="1" applyBorder="1" applyAlignment="1">
      <alignment horizontal="center"/>
    </xf>
    <xf numFmtId="171" fontId="12" fillId="6" borderId="73" xfId="0" applyNumberFormat="1" applyFont="1" applyFill="1" applyBorder="1" applyAlignment="1">
      <alignment horizontal="center"/>
    </xf>
    <xf numFmtId="2" fontId="11" fillId="2" borderId="21" xfId="0" applyNumberFormat="1" applyFont="1" applyFill="1" applyBorder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2" fontId="11" fillId="2" borderId="14" xfId="0" applyNumberFormat="1" applyFont="1" applyFill="1" applyBorder="1" applyAlignment="1">
      <alignment horizontal="center"/>
    </xf>
    <xf numFmtId="2" fontId="11" fillId="2" borderId="15" xfId="0" applyNumberFormat="1" applyFont="1" applyFill="1" applyBorder="1" applyAlignment="1">
      <alignment horizontal="center"/>
    </xf>
    <xf numFmtId="2" fontId="13" fillId="3" borderId="45" xfId="0" applyNumberFormat="1" applyFont="1" applyFill="1" applyBorder="1" applyAlignment="1" applyProtection="1">
      <alignment horizontal="center"/>
      <protection locked="0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62" xfId="0" applyFont="1" applyFill="1" applyBorder="1" applyAlignment="1">
      <alignment horizontal="center"/>
    </xf>
    <xf numFmtId="0" fontId="12" fillId="2" borderId="63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2"/>
  <sheetViews>
    <sheetView topLeftCell="A43" workbookViewId="0">
      <selection activeCell="C41" sqref="C41"/>
    </sheetView>
  </sheetViews>
  <sheetFormatPr defaultRowHeight="13.8" x14ac:dyDescent="0.3"/>
  <cols>
    <col min="1" max="1" width="27.5546875" style="4" customWidth="1"/>
    <col min="2" max="2" width="20.44140625" style="4" customWidth="1"/>
    <col min="3" max="3" width="31.88671875" style="4" customWidth="1"/>
    <col min="4" max="4" width="25.88671875" style="4" customWidth="1"/>
    <col min="5" max="5" width="25.6640625" style="4" customWidth="1"/>
    <col min="6" max="6" width="23.109375" style="4" customWidth="1"/>
    <col min="7" max="7" width="28.44140625" style="4" customWidth="1"/>
    <col min="8" max="8" width="21.5546875" style="4" customWidth="1"/>
    <col min="9" max="9" width="9.109375" style="4" customWidth="1"/>
  </cols>
  <sheetData>
    <row r="14" spans="1:9" ht="15" customHeight="1" x14ac:dyDescent="0.3">
      <c r="A14" s="1"/>
      <c r="B14" s="2"/>
      <c r="C14" s="3"/>
      <c r="D14" s="2"/>
      <c r="F14" s="3"/>
    </row>
    <row r="15" spans="1:9" ht="18.75" customHeight="1" x14ac:dyDescent="0.35">
      <c r="A15" s="480" t="s">
        <v>0</v>
      </c>
      <c r="B15" s="480"/>
      <c r="C15" s="480"/>
      <c r="D15" s="480"/>
      <c r="E15" s="480"/>
    </row>
    <row r="16" spans="1:9" s="44" customFormat="1" ht="18.75" customHeight="1" x14ac:dyDescent="0.35">
      <c r="A16" s="454"/>
      <c r="B16" s="454"/>
      <c r="C16" s="454"/>
      <c r="D16" s="454"/>
      <c r="E16" s="454"/>
      <c r="F16" s="451"/>
      <c r="G16" s="451"/>
      <c r="H16" s="451"/>
      <c r="I16" s="451"/>
    </row>
    <row r="17" spans="1:6" ht="16.5" customHeight="1" x14ac:dyDescent="0.3">
      <c r="A17" s="5" t="s">
        <v>1</v>
      </c>
      <c r="B17" s="6" t="s">
        <v>132</v>
      </c>
    </row>
    <row r="18" spans="1:6" ht="16.5" customHeight="1" x14ac:dyDescent="0.3">
      <c r="A18" s="7" t="s">
        <v>2</v>
      </c>
      <c r="B18" s="8" t="s">
        <v>4</v>
      </c>
      <c r="D18" s="9"/>
      <c r="E18" s="10"/>
    </row>
    <row r="19" spans="1:6" ht="16.5" customHeight="1" x14ac:dyDescent="0.3">
      <c r="A19" s="11" t="s">
        <v>3</v>
      </c>
      <c r="B19" s="4" t="s">
        <v>127</v>
      </c>
      <c r="C19" s="10"/>
      <c r="D19" s="10"/>
      <c r="E19" s="10"/>
    </row>
    <row r="20" spans="1:6" ht="16.5" customHeight="1" x14ac:dyDescent="0.3">
      <c r="A20" s="11" t="s">
        <v>5</v>
      </c>
      <c r="B20" s="12">
        <v>96.9</v>
      </c>
      <c r="C20" s="10"/>
      <c r="D20" s="10"/>
      <c r="E20" s="10"/>
    </row>
    <row r="21" spans="1:6" ht="16.5" customHeight="1" x14ac:dyDescent="0.3">
      <c r="A21" s="7" t="s">
        <v>7</v>
      </c>
      <c r="B21" s="12">
        <v>15.22</v>
      </c>
      <c r="C21" s="10"/>
      <c r="D21" s="10"/>
      <c r="E21" s="10"/>
    </row>
    <row r="22" spans="1:6" ht="16.5" customHeight="1" x14ac:dyDescent="0.3">
      <c r="A22" s="7" t="s">
        <v>9</v>
      </c>
      <c r="B22" s="13">
        <f>B21/25*5/50*5/10</f>
        <v>3.0440000000000002E-2</v>
      </c>
      <c r="C22" s="10"/>
      <c r="D22" s="10"/>
      <c r="E22" s="10"/>
    </row>
    <row r="23" spans="1:6" ht="15.75" customHeight="1" x14ac:dyDescent="0.3">
      <c r="A23" s="10"/>
      <c r="B23" s="453"/>
      <c r="C23" s="10"/>
      <c r="D23" s="10"/>
      <c r="E23" s="10"/>
    </row>
    <row r="24" spans="1:6" ht="16.5" customHeight="1" x14ac:dyDescent="0.3">
      <c r="A24" s="14" t="s">
        <v>12</v>
      </c>
      <c r="B24" s="15" t="s">
        <v>13</v>
      </c>
      <c r="C24" s="14" t="s">
        <v>14</v>
      </c>
      <c r="D24" s="14" t="s">
        <v>15</v>
      </c>
      <c r="E24" s="16" t="s">
        <v>16</v>
      </c>
    </row>
    <row r="25" spans="1:6" ht="16.5" customHeight="1" x14ac:dyDescent="0.3">
      <c r="A25" s="17">
        <v>1</v>
      </c>
      <c r="B25" s="18">
        <v>17783849</v>
      </c>
      <c r="C25" s="18">
        <v>4624.3999999999996</v>
      </c>
      <c r="D25" s="19">
        <v>1.3</v>
      </c>
      <c r="E25" s="20">
        <v>12.2</v>
      </c>
    </row>
    <row r="26" spans="1:6" ht="16.5" customHeight="1" x14ac:dyDescent="0.3">
      <c r="A26" s="17">
        <v>2</v>
      </c>
      <c r="B26" s="18">
        <v>18118290</v>
      </c>
      <c r="C26" s="18">
        <v>4627.5</v>
      </c>
      <c r="D26" s="19">
        <v>1.3</v>
      </c>
      <c r="E26" s="19">
        <v>12.2</v>
      </c>
    </row>
    <row r="27" spans="1:6" ht="16.5" customHeight="1" x14ac:dyDescent="0.3">
      <c r="A27" s="17">
        <v>3</v>
      </c>
      <c r="B27" s="18">
        <v>18231413</v>
      </c>
      <c r="C27" s="18">
        <v>4732.2</v>
      </c>
      <c r="D27" s="19">
        <v>1.3</v>
      </c>
      <c r="E27" s="19">
        <v>12.2</v>
      </c>
    </row>
    <row r="28" spans="1:6" ht="16.5" customHeight="1" x14ac:dyDescent="0.3">
      <c r="A28" s="17">
        <v>4</v>
      </c>
      <c r="B28" s="18">
        <v>18425580</v>
      </c>
      <c r="C28" s="18">
        <v>4730.8999999999996</v>
      </c>
      <c r="D28" s="19">
        <v>1.3</v>
      </c>
      <c r="E28" s="19">
        <v>12.2</v>
      </c>
    </row>
    <row r="29" spans="1:6" ht="16.5" customHeight="1" x14ac:dyDescent="0.3">
      <c r="A29" s="17">
        <v>5</v>
      </c>
      <c r="B29" s="18">
        <v>18569187</v>
      </c>
      <c r="C29" s="18">
        <v>4763.7</v>
      </c>
      <c r="D29" s="19">
        <v>1.3</v>
      </c>
      <c r="E29" s="19">
        <v>12.2</v>
      </c>
    </row>
    <row r="30" spans="1:6" ht="16.5" customHeight="1" x14ac:dyDescent="0.3">
      <c r="A30" s="17">
        <v>6</v>
      </c>
      <c r="B30" s="21">
        <v>18607471</v>
      </c>
      <c r="C30" s="21">
        <v>4796.3999999999996</v>
      </c>
      <c r="D30" s="22">
        <v>1.3</v>
      </c>
      <c r="E30" s="22">
        <v>12.2</v>
      </c>
    </row>
    <row r="31" spans="1:6" ht="16.5" customHeight="1" x14ac:dyDescent="0.3">
      <c r="A31" s="23" t="s">
        <v>17</v>
      </c>
      <c r="B31" s="24">
        <f>AVERAGE(B25:B30)</f>
        <v>18289298.333333332</v>
      </c>
      <c r="C31" s="455">
        <f>AVERAGE(C25:C30)</f>
        <v>4712.5166666666664</v>
      </c>
      <c r="D31" s="26">
        <f>AVERAGE(D25:D30)</f>
        <v>1.3</v>
      </c>
      <c r="E31" s="26">
        <f>AVERAGE(E25:E30)</f>
        <v>12.200000000000001</v>
      </c>
    </row>
    <row r="32" spans="1:6" ht="16.5" customHeight="1" x14ac:dyDescent="0.3">
      <c r="A32" s="27" t="s">
        <v>18</v>
      </c>
      <c r="B32" s="28">
        <f>(STDEV(B25:B30)/B31)</f>
        <v>1.7050353136849793E-2</v>
      </c>
      <c r="C32" s="29"/>
      <c r="D32" s="29"/>
      <c r="E32" s="30"/>
      <c r="F32" s="2"/>
    </row>
    <row r="33" spans="1:6" s="2" customFormat="1" ht="16.5" customHeight="1" x14ac:dyDescent="0.3">
      <c r="A33" s="31" t="s">
        <v>19</v>
      </c>
      <c r="B33" s="32">
        <f>COUNT(B25:B30)</f>
        <v>6</v>
      </c>
      <c r="C33" s="33"/>
      <c r="D33" s="34"/>
      <c r="E33" s="35"/>
    </row>
    <row r="34" spans="1:6" s="2" customFormat="1" ht="15.75" customHeight="1" x14ac:dyDescent="0.3">
      <c r="A34" s="10"/>
      <c r="B34" s="10"/>
      <c r="C34" s="10"/>
      <c r="D34" s="10"/>
      <c r="E34" s="36"/>
    </row>
    <row r="35" spans="1:6" s="2" customFormat="1" ht="16.5" customHeight="1" x14ac:dyDescent="0.3">
      <c r="A35" s="11" t="s">
        <v>20</v>
      </c>
      <c r="B35" s="37" t="s">
        <v>21</v>
      </c>
      <c r="C35" s="38"/>
      <c r="D35" s="38"/>
      <c r="E35" s="39"/>
    </row>
    <row r="36" spans="1:6" ht="16.5" customHeight="1" x14ac:dyDescent="0.3">
      <c r="A36" s="11"/>
      <c r="B36" s="37" t="s">
        <v>22</v>
      </c>
      <c r="C36" s="38"/>
      <c r="D36" s="38"/>
      <c r="E36" s="39"/>
      <c r="F36" s="2"/>
    </row>
    <row r="37" spans="1:6" ht="16.5" customHeight="1" x14ac:dyDescent="0.3">
      <c r="A37" s="11"/>
      <c r="B37" s="40" t="s">
        <v>23</v>
      </c>
      <c r="C37" s="38"/>
      <c r="D37" s="38"/>
      <c r="E37" s="38"/>
    </row>
    <row r="38" spans="1:6" ht="15.75" customHeight="1" x14ac:dyDescent="0.3">
      <c r="A38" s="10"/>
      <c r="B38" s="10"/>
      <c r="C38" s="10"/>
      <c r="D38" s="10"/>
      <c r="E38" s="10"/>
    </row>
    <row r="39" spans="1:6" ht="16.5" customHeight="1" x14ac:dyDescent="0.3">
      <c r="A39" s="5" t="s">
        <v>1</v>
      </c>
      <c r="B39" s="6" t="s">
        <v>24</v>
      </c>
    </row>
    <row r="40" spans="1:6" ht="16.5" customHeight="1" x14ac:dyDescent="0.3">
      <c r="A40" s="11" t="s">
        <v>3</v>
      </c>
      <c r="B40" s="8"/>
      <c r="C40" s="10"/>
      <c r="D40" s="10"/>
      <c r="E40" s="10"/>
    </row>
    <row r="41" spans="1:6" ht="16.5" customHeight="1" x14ac:dyDescent="0.3">
      <c r="A41" s="11" t="s">
        <v>5</v>
      </c>
      <c r="B41" s="12"/>
      <c r="C41" s="10"/>
      <c r="D41" s="10"/>
      <c r="E41" s="10"/>
    </row>
    <row r="42" spans="1:6" ht="16.5" customHeight="1" x14ac:dyDescent="0.3">
      <c r="A42" s="7" t="s">
        <v>7</v>
      </c>
      <c r="B42" s="12"/>
      <c r="C42" s="10"/>
      <c r="D42" s="10"/>
      <c r="E42" s="10"/>
    </row>
    <row r="43" spans="1:6" ht="16.5" customHeight="1" x14ac:dyDescent="0.3">
      <c r="A43" s="7" t="s">
        <v>9</v>
      </c>
      <c r="B43" s="13"/>
      <c r="C43" s="10"/>
      <c r="D43" s="10"/>
      <c r="E43" s="10"/>
    </row>
    <row r="44" spans="1:6" ht="15.75" customHeight="1" x14ac:dyDescent="0.3">
      <c r="A44" s="10"/>
      <c r="B44" s="10"/>
      <c r="C44" s="10"/>
      <c r="D44" s="10"/>
      <c r="E44" s="10"/>
    </row>
    <row r="45" spans="1:6" ht="16.5" customHeight="1" x14ac:dyDescent="0.3">
      <c r="A45" s="14" t="s">
        <v>12</v>
      </c>
      <c r="B45" s="15" t="s">
        <v>13</v>
      </c>
      <c r="C45" s="14" t="s">
        <v>14</v>
      </c>
      <c r="D45" s="14" t="s">
        <v>15</v>
      </c>
      <c r="E45" s="16" t="s">
        <v>16</v>
      </c>
    </row>
    <row r="46" spans="1:6" ht="16.5" customHeight="1" x14ac:dyDescent="0.3">
      <c r="A46" s="17">
        <v>1</v>
      </c>
      <c r="B46" s="18"/>
      <c r="C46" s="18"/>
      <c r="D46" s="19"/>
      <c r="E46" s="20"/>
    </row>
    <row r="47" spans="1:6" ht="16.5" customHeight="1" x14ac:dyDescent="0.3">
      <c r="A47" s="17">
        <v>2</v>
      </c>
      <c r="B47" s="18"/>
      <c r="C47" s="18"/>
      <c r="D47" s="19"/>
      <c r="E47" s="19"/>
    </row>
    <row r="48" spans="1:6" ht="16.5" customHeight="1" x14ac:dyDescent="0.3">
      <c r="A48" s="17">
        <v>3</v>
      </c>
      <c r="B48" s="18"/>
      <c r="C48" s="18"/>
      <c r="D48" s="19"/>
      <c r="E48" s="19"/>
    </row>
    <row r="49" spans="1:7" ht="16.5" customHeight="1" x14ac:dyDescent="0.3">
      <c r="A49" s="17">
        <v>4</v>
      </c>
      <c r="B49" s="18"/>
      <c r="C49" s="18"/>
      <c r="D49" s="19"/>
      <c r="E49" s="19"/>
    </row>
    <row r="50" spans="1:7" ht="16.5" customHeight="1" x14ac:dyDescent="0.3">
      <c r="A50" s="17">
        <v>5</v>
      </c>
      <c r="B50" s="18"/>
      <c r="C50" s="18"/>
      <c r="D50" s="19"/>
      <c r="E50" s="19"/>
    </row>
    <row r="51" spans="1:7" ht="16.5" customHeight="1" x14ac:dyDescent="0.3">
      <c r="A51" s="17">
        <v>6</v>
      </c>
      <c r="B51" s="21"/>
      <c r="C51" s="21"/>
      <c r="D51" s="22"/>
      <c r="E51" s="22"/>
    </row>
    <row r="52" spans="1:7" ht="16.5" customHeight="1" x14ac:dyDescent="0.3">
      <c r="A52" s="23" t="s">
        <v>17</v>
      </c>
      <c r="B52" s="24" t="e">
        <f>AVERAGE(B46:B51)</f>
        <v>#DIV/0!</v>
      </c>
      <c r="C52" s="25" t="e">
        <f>AVERAGE(C46:C51)</f>
        <v>#DIV/0!</v>
      </c>
      <c r="D52" s="26" t="e">
        <f>AVERAGE(D46:D51)</f>
        <v>#DIV/0!</v>
      </c>
      <c r="E52" s="26" t="e">
        <f>AVERAGE(E46:E51)</f>
        <v>#DIV/0!</v>
      </c>
    </row>
    <row r="53" spans="1:7" ht="16.5" customHeight="1" x14ac:dyDescent="0.3">
      <c r="A53" s="27" t="s">
        <v>18</v>
      </c>
      <c r="B53" s="28" t="e">
        <f>(STDEV(B46:B51)/B52)</f>
        <v>#DIV/0!</v>
      </c>
      <c r="C53" s="29"/>
      <c r="D53" s="29"/>
      <c r="E53" s="30"/>
      <c r="F53" s="2"/>
    </row>
    <row r="54" spans="1:7" s="2" customFormat="1" ht="16.5" customHeight="1" x14ac:dyDescent="0.3">
      <c r="A54" s="31" t="s">
        <v>19</v>
      </c>
      <c r="B54" s="32">
        <f>COUNT(B46:B51)</f>
        <v>0</v>
      </c>
      <c r="C54" s="33"/>
      <c r="D54" s="34"/>
      <c r="E54" s="35"/>
    </row>
    <row r="55" spans="1:7" s="2" customFormat="1" ht="15.75" customHeight="1" x14ac:dyDescent="0.3">
      <c r="A55" s="10"/>
      <c r="B55" s="10"/>
      <c r="C55" s="10"/>
      <c r="D55" s="10"/>
      <c r="E55" s="36"/>
    </row>
    <row r="56" spans="1:7" s="2" customFormat="1" ht="16.5" customHeight="1" x14ac:dyDescent="0.3">
      <c r="A56" s="11" t="s">
        <v>20</v>
      </c>
      <c r="B56" s="37" t="s">
        <v>21</v>
      </c>
      <c r="C56" s="38"/>
      <c r="D56" s="38"/>
      <c r="E56" s="39"/>
    </row>
    <row r="57" spans="1:7" ht="16.5" customHeight="1" x14ac:dyDescent="0.3">
      <c r="A57" s="11"/>
      <c r="B57" s="37" t="s">
        <v>22</v>
      </c>
      <c r="C57" s="38"/>
      <c r="D57" s="38"/>
      <c r="E57" s="39"/>
      <c r="F57" s="2"/>
    </row>
    <row r="58" spans="1:7" ht="16.5" customHeight="1" x14ac:dyDescent="0.3">
      <c r="A58" s="11"/>
      <c r="B58" s="40" t="s">
        <v>23</v>
      </c>
      <c r="C58" s="38"/>
      <c r="D58" s="39"/>
      <c r="E58" s="38"/>
    </row>
    <row r="59" spans="1:7" ht="14.25" customHeight="1" x14ac:dyDescent="0.3">
      <c r="A59" s="41"/>
      <c r="B59" s="42"/>
      <c r="D59" s="43"/>
      <c r="F59" s="44"/>
      <c r="G59" s="44"/>
    </row>
    <row r="60" spans="1:7" ht="15" customHeight="1" x14ac:dyDescent="0.3">
      <c r="B60" s="481" t="s">
        <v>25</v>
      </c>
      <c r="C60" s="481"/>
      <c r="E60" s="45" t="s">
        <v>26</v>
      </c>
      <c r="F60" s="46"/>
      <c r="G60" s="45" t="s">
        <v>27</v>
      </c>
    </row>
    <row r="61" spans="1:7" ht="15" customHeight="1" x14ac:dyDescent="0.3">
      <c r="A61" s="47" t="s">
        <v>28</v>
      </c>
      <c r="B61" s="48"/>
      <c r="C61" s="48"/>
      <c r="E61" s="48"/>
      <c r="F61" s="2"/>
      <c r="G61" s="49"/>
    </row>
    <row r="62" spans="1:7" ht="15" customHeight="1" x14ac:dyDescent="0.3">
      <c r="A62" s="47" t="s">
        <v>29</v>
      </c>
      <c r="B62" s="50"/>
      <c r="C62" s="50"/>
      <c r="E62" s="50"/>
      <c r="F62" s="2"/>
      <c r="G62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60:C60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1" workbookViewId="0">
      <selection activeCell="C38" sqref="C38"/>
    </sheetView>
  </sheetViews>
  <sheetFormatPr defaultColWidth="9.109375" defaultRowHeight="13.8" x14ac:dyDescent="0.3"/>
  <cols>
    <col min="1" max="1" width="27.5546875" style="451" customWidth="1"/>
    <col min="2" max="2" width="20.44140625" style="451" customWidth="1"/>
    <col min="3" max="3" width="31.88671875" style="451" customWidth="1"/>
    <col min="4" max="4" width="25.88671875" style="451" customWidth="1"/>
    <col min="5" max="5" width="25.6640625" style="451" customWidth="1"/>
    <col min="6" max="6" width="23.109375" style="451" customWidth="1"/>
    <col min="7" max="7" width="28.44140625" style="451" customWidth="1"/>
    <col min="8" max="8" width="21.5546875" style="451" customWidth="1"/>
    <col min="9" max="9" width="9.109375" style="451" customWidth="1"/>
    <col min="10" max="16384" width="9.109375" style="44"/>
  </cols>
  <sheetData>
    <row r="14" spans="1:6" ht="15" customHeight="1" x14ac:dyDescent="0.3">
      <c r="A14" s="1"/>
      <c r="C14" s="3"/>
      <c r="F14" s="3"/>
    </row>
    <row r="15" spans="1:6" ht="18.75" customHeight="1" x14ac:dyDescent="0.35">
      <c r="A15" s="480" t="s">
        <v>0</v>
      </c>
      <c r="B15" s="480"/>
      <c r="C15" s="480"/>
      <c r="D15" s="480"/>
      <c r="E15" s="480"/>
    </row>
    <row r="16" spans="1:6" ht="16.5" customHeight="1" x14ac:dyDescent="0.3">
      <c r="A16" s="90" t="s">
        <v>1</v>
      </c>
      <c r="B16" s="59" t="s">
        <v>132</v>
      </c>
    </row>
    <row r="17" spans="1:5" ht="16.5" customHeight="1" x14ac:dyDescent="0.3">
      <c r="A17" s="8" t="s">
        <v>2</v>
      </c>
      <c r="B17" s="8" t="s">
        <v>4</v>
      </c>
      <c r="D17" s="9"/>
      <c r="E17" s="72"/>
    </row>
    <row r="18" spans="1:5" ht="16.5" customHeight="1" x14ac:dyDescent="0.3">
      <c r="A18" s="75" t="s">
        <v>3</v>
      </c>
      <c r="B18" s="456" t="s">
        <v>128</v>
      </c>
      <c r="C18" s="72"/>
      <c r="D18" s="72"/>
      <c r="E18" s="72"/>
    </row>
    <row r="19" spans="1:5" ht="16.5" customHeight="1" x14ac:dyDescent="0.3">
      <c r="A19" s="75" t="s">
        <v>5</v>
      </c>
      <c r="B19" s="12">
        <v>99.19</v>
      </c>
      <c r="C19" s="72"/>
      <c r="D19" s="72"/>
      <c r="E19" s="72"/>
    </row>
    <row r="20" spans="1:5" ht="16.5" customHeight="1" x14ac:dyDescent="0.3">
      <c r="A20" s="8" t="s">
        <v>7</v>
      </c>
      <c r="B20" s="12">
        <v>29.36</v>
      </c>
      <c r="C20" s="72"/>
      <c r="D20" s="72"/>
      <c r="E20" s="72"/>
    </row>
    <row r="21" spans="1:5" ht="16.5" customHeight="1" x14ac:dyDescent="0.3">
      <c r="A21" s="8" t="s">
        <v>9</v>
      </c>
      <c r="B21" s="13">
        <f>B20/50*5/10</f>
        <v>0.29359999999999997</v>
      </c>
      <c r="C21" s="72"/>
      <c r="D21" s="72"/>
      <c r="E21" s="72"/>
    </row>
    <row r="22" spans="1:5" ht="15.75" customHeight="1" x14ac:dyDescent="0.3">
      <c r="A22" s="72"/>
      <c r="B22" s="453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543947415</v>
      </c>
      <c r="C24" s="18">
        <v>3078.7</v>
      </c>
      <c r="D24" s="19">
        <v>1.7</v>
      </c>
      <c r="E24" s="20">
        <v>3.2</v>
      </c>
    </row>
    <row r="25" spans="1:5" ht="16.5" customHeight="1" x14ac:dyDescent="0.3">
      <c r="A25" s="17">
        <v>2</v>
      </c>
      <c r="B25" s="18">
        <v>545889754</v>
      </c>
      <c r="C25" s="18">
        <v>3059.7</v>
      </c>
      <c r="D25" s="19">
        <v>1.7</v>
      </c>
      <c r="E25" s="19">
        <v>3.2</v>
      </c>
    </row>
    <row r="26" spans="1:5" ht="16.5" customHeight="1" x14ac:dyDescent="0.3">
      <c r="A26" s="17">
        <v>3</v>
      </c>
      <c r="B26" s="18">
        <v>545231356</v>
      </c>
      <c r="C26" s="18">
        <v>3060.4</v>
      </c>
      <c r="D26" s="19">
        <v>1.7</v>
      </c>
      <c r="E26" s="19">
        <v>3.2</v>
      </c>
    </row>
    <row r="27" spans="1:5" ht="16.5" customHeight="1" x14ac:dyDescent="0.3">
      <c r="A27" s="17">
        <v>4</v>
      </c>
      <c r="B27" s="18">
        <v>546222215</v>
      </c>
      <c r="C27" s="18">
        <v>3007.6</v>
      </c>
      <c r="D27" s="19">
        <v>1.7</v>
      </c>
      <c r="E27" s="19">
        <v>3.2</v>
      </c>
    </row>
    <row r="28" spans="1:5" ht="16.5" customHeight="1" x14ac:dyDescent="0.3">
      <c r="A28" s="17">
        <v>5</v>
      </c>
      <c r="B28" s="18">
        <v>546869354</v>
      </c>
      <c r="C28" s="18">
        <v>3033.5</v>
      </c>
      <c r="D28" s="19">
        <v>1.7</v>
      </c>
      <c r="E28" s="19">
        <v>3.2</v>
      </c>
    </row>
    <row r="29" spans="1:5" ht="16.5" customHeight="1" x14ac:dyDescent="0.3">
      <c r="A29" s="17">
        <v>6</v>
      </c>
      <c r="B29" s="21">
        <v>546702968</v>
      </c>
      <c r="C29" s="21">
        <v>3031.3</v>
      </c>
      <c r="D29" s="22">
        <v>1.7</v>
      </c>
      <c r="E29" s="22">
        <v>3.2</v>
      </c>
    </row>
    <row r="30" spans="1:5" ht="16.5" customHeight="1" x14ac:dyDescent="0.3">
      <c r="A30" s="23" t="s">
        <v>17</v>
      </c>
      <c r="B30" s="24">
        <f>AVERAGE(B24:B29)</f>
        <v>545810510.33333337</v>
      </c>
      <c r="C30" s="25">
        <f>AVERAGE(C24:C29)</f>
        <v>3045.2000000000003</v>
      </c>
      <c r="D30" s="26">
        <f>AVERAGE(D24:D29)</f>
        <v>1.7</v>
      </c>
      <c r="E30" s="26">
        <f>AVERAGE(E24:E29)</f>
        <v>3.1999999999999997</v>
      </c>
    </row>
    <row r="31" spans="1:5" ht="16.5" customHeight="1" x14ac:dyDescent="0.3">
      <c r="A31" s="27" t="s">
        <v>18</v>
      </c>
      <c r="B31" s="28">
        <f>(STDEV(B24:B29)/B30)</f>
        <v>1.9902033256620003E-3</v>
      </c>
      <c r="C31" s="29"/>
      <c r="D31" s="29"/>
      <c r="E31" s="30"/>
    </row>
    <row r="32" spans="1:5" s="451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451" customFormat="1" ht="15.75" customHeight="1" x14ac:dyDescent="0.3">
      <c r="A33" s="72"/>
      <c r="B33" s="72"/>
      <c r="C33" s="72"/>
      <c r="D33" s="72"/>
      <c r="E33" s="72"/>
    </row>
    <row r="34" spans="1:5" s="451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3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/>
    </row>
    <row r="39" spans="1:5" ht="16.5" customHeight="1" x14ac:dyDescent="0.3">
      <c r="A39" s="75" t="s">
        <v>3</v>
      </c>
      <c r="B39" s="8"/>
      <c r="C39" s="72"/>
      <c r="D39" s="72"/>
      <c r="E39" s="72"/>
    </row>
    <row r="40" spans="1:5" ht="16.5" customHeight="1" x14ac:dyDescent="0.3">
      <c r="A40" s="75" t="s">
        <v>5</v>
      </c>
      <c r="B40" s="12"/>
      <c r="C40" s="72"/>
      <c r="D40" s="72"/>
      <c r="E40" s="72"/>
    </row>
    <row r="41" spans="1:5" ht="16.5" customHeight="1" x14ac:dyDescent="0.3">
      <c r="A41" s="8" t="s">
        <v>7</v>
      </c>
      <c r="B41" s="12"/>
      <c r="C41" s="72"/>
      <c r="D41" s="72"/>
      <c r="E41" s="72"/>
    </row>
    <row r="42" spans="1:5" ht="16.5" customHeight="1" x14ac:dyDescent="0.3">
      <c r="A42" s="8" t="s">
        <v>9</v>
      </c>
      <c r="B42" s="13"/>
      <c r="C42" s="72"/>
      <c r="D42" s="72"/>
      <c r="E42" s="72"/>
    </row>
    <row r="43" spans="1:5" ht="15.75" customHeight="1" x14ac:dyDescent="0.3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17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18</v>
      </c>
      <c r="B52" s="28" t="e">
        <f>(STDEV(B45:B50)/B51)</f>
        <v>#DIV/0!</v>
      </c>
      <c r="C52" s="29"/>
      <c r="D52" s="29"/>
      <c r="E52" s="30"/>
    </row>
    <row r="53" spans="1:7" s="451" customFormat="1" ht="16.5" customHeight="1" x14ac:dyDescent="0.3">
      <c r="A53" s="31" t="s">
        <v>19</v>
      </c>
      <c r="B53" s="32">
        <f>COUNT(B45:B50)</f>
        <v>0</v>
      </c>
      <c r="C53" s="33"/>
      <c r="D53" s="73"/>
      <c r="E53" s="35"/>
    </row>
    <row r="54" spans="1:7" s="451" customFormat="1" ht="15.75" customHeight="1" x14ac:dyDescent="0.3">
      <c r="A54" s="72"/>
      <c r="B54" s="72"/>
      <c r="C54" s="72"/>
      <c r="D54" s="72"/>
      <c r="E54" s="72"/>
    </row>
    <row r="55" spans="1:7" s="451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5">
      <c r="A58" s="41"/>
      <c r="B58" s="450"/>
      <c r="D58" s="43"/>
      <c r="F58" s="44"/>
      <c r="G58" s="44"/>
    </row>
    <row r="59" spans="1:7" ht="15" customHeight="1" x14ac:dyDescent="0.3">
      <c r="B59" s="481" t="s">
        <v>25</v>
      </c>
      <c r="C59" s="481"/>
      <c r="E59" s="452" t="s">
        <v>26</v>
      </c>
      <c r="F59" s="46"/>
      <c r="G59" s="452" t="s">
        <v>27</v>
      </c>
    </row>
    <row r="60" spans="1:7" ht="15" customHeight="1" x14ac:dyDescent="0.3">
      <c r="A60" s="47" t="s">
        <v>28</v>
      </c>
      <c r="B60" s="49"/>
      <c r="C60" s="49"/>
      <c r="E60" s="49"/>
      <c r="G60" s="49"/>
    </row>
    <row r="61" spans="1:7" ht="15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2" sqref="D42"/>
    </sheetView>
  </sheetViews>
  <sheetFormatPr defaultRowHeight="13.8" x14ac:dyDescent="0.3"/>
  <cols>
    <col min="1" max="1" width="15.5546875" style="1" customWidth="1"/>
    <col min="2" max="2" width="18.44140625" style="1" customWidth="1"/>
    <col min="3" max="3" width="14.33203125" style="1" customWidth="1"/>
    <col min="4" max="4" width="15" style="1" customWidth="1"/>
    <col min="5" max="5" width="9.109375" style="1" customWidth="1"/>
    <col min="6" max="6" width="27.88671875" style="1" customWidth="1"/>
    <col min="7" max="7" width="12.33203125" style="1" customWidth="1"/>
    <col min="8" max="8" width="9.109375" style="1" customWidth="1"/>
  </cols>
  <sheetData>
    <row r="10" spans="1:7" ht="13.5" customHeight="1" x14ac:dyDescent="0.3"/>
    <row r="11" spans="1:7" ht="13.5" customHeight="1" x14ac:dyDescent="0.3">
      <c r="A11" s="485" t="s">
        <v>30</v>
      </c>
      <c r="B11" s="486"/>
      <c r="C11" s="486"/>
      <c r="D11" s="486"/>
      <c r="E11" s="486"/>
      <c r="F11" s="487"/>
      <c r="G11" s="91"/>
    </row>
    <row r="12" spans="1:7" ht="16.5" customHeight="1" x14ac:dyDescent="0.3">
      <c r="A12" s="484" t="s">
        <v>31</v>
      </c>
      <c r="B12" s="484"/>
      <c r="C12" s="484"/>
      <c r="D12" s="484"/>
      <c r="E12" s="484"/>
      <c r="F12" s="484"/>
      <c r="G12" s="90"/>
    </row>
    <row r="14" spans="1:7" ht="16.5" customHeight="1" x14ac:dyDescent="0.3">
      <c r="A14" s="489" t="s">
        <v>32</v>
      </c>
      <c r="B14" s="489"/>
      <c r="C14" s="60" t="s">
        <v>4</v>
      </c>
    </row>
    <row r="15" spans="1:7" ht="16.5" customHeight="1" x14ac:dyDescent="0.3">
      <c r="A15" s="489" t="s">
        <v>33</v>
      </c>
      <c r="B15" s="489"/>
      <c r="C15" s="60" t="s">
        <v>6</v>
      </c>
    </row>
    <row r="16" spans="1:7" ht="16.5" customHeight="1" x14ac:dyDescent="0.3">
      <c r="A16" s="489" t="s">
        <v>34</v>
      </c>
      <c r="B16" s="489"/>
      <c r="C16" s="60" t="s">
        <v>8</v>
      </c>
    </row>
    <row r="17" spans="1:5" ht="16.5" customHeight="1" x14ac:dyDescent="0.3">
      <c r="A17" s="489" t="s">
        <v>35</v>
      </c>
      <c r="B17" s="489"/>
      <c r="C17" s="60" t="s">
        <v>10</v>
      </c>
    </row>
    <row r="18" spans="1:5" ht="16.5" customHeight="1" x14ac:dyDescent="0.3">
      <c r="A18" s="489" t="s">
        <v>36</v>
      </c>
      <c r="B18" s="489"/>
      <c r="C18" s="97" t="s">
        <v>11</v>
      </c>
    </row>
    <row r="19" spans="1:5" ht="16.5" customHeight="1" x14ac:dyDescent="0.3">
      <c r="A19" s="489" t="s">
        <v>37</v>
      </c>
      <c r="B19" s="489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84" t="s">
        <v>1</v>
      </c>
      <c r="B21" s="484"/>
      <c r="C21" s="59" t="s">
        <v>38</v>
      </c>
      <c r="D21" s="66"/>
    </row>
    <row r="22" spans="1:5" ht="15.75" customHeight="1" x14ac:dyDescent="0.3">
      <c r="A22" s="488"/>
      <c r="B22" s="488"/>
      <c r="C22" s="57"/>
      <c r="D22" s="488"/>
      <c r="E22" s="488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95">
        <v>701.47</v>
      </c>
      <c r="D24" s="87">
        <f t="shared" ref="D24:D43" si="0">(C24-$C$46)/$C$46</f>
        <v>-3.2950216613217313E-3</v>
      </c>
      <c r="E24" s="53"/>
    </row>
    <row r="25" spans="1:5" ht="15.75" customHeight="1" x14ac:dyDescent="0.3">
      <c r="C25" s="95">
        <v>695.41</v>
      </c>
      <c r="D25" s="88">
        <f t="shared" si="0"/>
        <v>-1.1905556921179528E-2</v>
      </c>
      <c r="E25" s="53"/>
    </row>
    <row r="26" spans="1:5" ht="15.75" customHeight="1" x14ac:dyDescent="0.3">
      <c r="C26" s="95">
        <v>720.45</v>
      </c>
      <c r="D26" s="88">
        <f t="shared" si="0"/>
        <v>2.3673288442985125E-2</v>
      </c>
      <c r="E26" s="53"/>
    </row>
    <row r="27" spans="1:5" ht="15.75" customHeight="1" x14ac:dyDescent="0.3">
      <c r="C27" s="95">
        <v>719.25</v>
      </c>
      <c r="D27" s="88">
        <f t="shared" si="0"/>
        <v>2.1968231955884522E-2</v>
      </c>
      <c r="E27" s="53"/>
    </row>
    <row r="28" spans="1:5" ht="15.75" customHeight="1" x14ac:dyDescent="0.3">
      <c r="C28" s="95">
        <v>702.43</v>
      </c>
      <c r="D28" s="88">
        <f t="shared" si="0"/>
        <v>-1.9309764716414115E-3</v>
      </c>
      <c r="E28" s="53"/>
    </row>
    <row r="29" spans="1:5" ht="15.75" customHeight="1" x14ac:dyDescent="0.3">
      <c r="C29" s="95">
        <v>712.27</v>
      </c>
      <c r="D29" s="88">
        <f t="shared" si="0"/>
        <v>1.2050486722583039E-2</v>
      </c>
      <c r="E29" s="53"/>
    </row>
    <row r="30" spans="1:5" ht="15.75" customHeight="1" x14ac:dyDescent="0.3">
      <c r="C30" s="95">
        <v>698.76</v>
      </c>
      <c r="D30" s="88">
        <f t="shared" si="0"/>
        <v>-7.145607561357163E-3</v>
      </c>
      <c r="E30" s="53"/>
    </row>
    <row r="31" spans="1:5" ht="15.75" customHeight="1" x14ac:dyDescent="0.3">
      <c r="C31" s="95">
        <v>699.24</v>
      </c>
      <c r="D31" s="88">
        <f t="shared" si="0"/>
        <v>-6.4635849665169226E-3</v>
      </c>
      <c r="E31" s="53"/>
    </row>
    <row r="32" spans="1:5" ht="15.75" customHeight="1" x14ac:dyDescent="0.3">
      <c r="C32" s="95">
        <v>691.46</v>
      </c>
      <c r="D32" s="88">
        <f t="shared" si="0"/>
        <v>-1.7518034524552032E-2</v>
      </c>
      <c r="E32" s="53"/>
    </row>
    <row r="33" spans="1:7" ht="15.75" customHeight="1" x14ac:dyDescent="0.3">
      <c r="C33" s="95">
        <v>706.09</v>
      </c>
      <c r="D33" s="88">
        <f t="shared" si="0"/>
        <v>3.2694458140153436E-3</v>
      </c>
      <c r="E33" s="53"/>
    </row>
    <row r="34" spans="1:7" ht="15.75" customHeight="1" x14ac:dyDescent="0.3">
      <c r="C34" s="95">
        <v>697.58</v>
      </c>
      <c r="D34" s="88">
        <f t="shared" si="0"/>
        <v>-8.8222464403392865E-3</v>
      </c>
      <c r="E34" s="53"/>
    </row>
    <row r="35" spans="1:7" ht="15.75" customHeight="1" x14ac:dyDescent="0.3">
      <c r="C35" s="95">
        <v>721.31</v>
      </c>
      <c r="D35" s="88">
        <f t="shared" si="0"/>
        <v>2.4895245592073702E-2</v>
      </c>
      <c r="E35" s="53"/>
    </row>
    <row r="36" spans="1:7" ht="15.75" customHeight="1" x14ac:dyDescent="0.3">
      <c r="C36" s="95">
        <v>701.49</v>
      </c>
      <c r="D36" s="88">
        <f t="shared" si="0"/>
        <v>-3.266604053203415E-3</v>
      </c>
      <c r="E36" s="53"/>
    </row>
    <row r="37" spans="1:7" ht="15.75" customHeight="1" x14ac:dyDescent="0.3">
      <c r="C37" s="95">
        <v>700.05</v>
      </c>
      <c r="D37" s="88">
        <f t="shared" si="0"/>
        <v>-5.3126718377241372E-3</v>
      </c>
      <c r="E37" s="53"/>
    </row>
    <row r="38" spans="1:7" ht="15.75" customHeight="1" x14ac:dyDescent="0.3">
      <c r="C38" s="95">
        <v>702.26</v>
      </c>
      <c r="D38" s="88">
        <f t="shared" si="0"/>
        <v>-2.1725261406472626E-3</v>
      </c>
      <c r="E38" s="53"/>
    </row>
    <row r="39" spans="1:7" ht="15.75" customHeight="1" x14ac:dyDescent="0.3">
      <c r="C39" s="95">
        <v>714.37</v>
      </c>
      <c r="D39" s="88">
        <f t="shared" si="0"/>
        <v>1.5034335575009012E-2</v>
      </c>
      <c r="E39" s="53"/>
    </row>
    <row r="40" spans="1:7" ht="15.75" customHeight="1" x14ac:dyDescent="0.3">
      <c r="C40" s="95">
        <v>702.25</v>
      </c>
      <c r="D40" s="88">
        <f t="shared" si="0"/>
        <v>-2.1867349447064208E-3</v>
      </c>
      <c r="E40" s="53"/>
    </row>
    <row r="41" spans="1:7" ht="15.75" customHeight="1" x14ac:dyDescent="0.3">
      <c r="C41" s="95">
        <v>683.61</v>
      </c>
      <c r="D41" s="88">
        <f t="shared" si="0"/>
        <v>-2.8671945711001415E-2</v>
      </c>
      <c r="E41" s="53"/>
    </row>
    <row r="42" spans="1:7" ht="15.75" customHeight="1" x14ac:dyDescent="0.3">
      <c r="C42" s="95">
        <v>695.11</v>
      </c>
      <c r="D42" s="88">
        <f t="shared" si="0"/>
        <v>-1.2331821042954598E-2</v>
      </c>
      <c r="E42" s="53"/>
    </row>
    <row r="43" spans="1:7" ht="16.5" customHeight="1" x14ac:dyDescent="0.3">
      <c r="C43" s="96">
        <v>710.92</v>
      </c>
      <c r="D43" s="89">
        <f t="shared" si="0"/>
        <v>1.0132298174594902E-2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14075.78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703.78899999999999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82">
        <f>C46</f>
        <v>703.78899999999999</v>
      </c>
      <c r="C49" s="93">
        <f>-IF(C46&lt;=80,10%,IF(C46&lt;250,7.5%,5%))</f>
        <v>-0.05</v>
      </c>
      <c r="D49" s="81">
        <f>IF(C46&lt;=80,C46*0.9,IF(C46&lt;250,C46*0.925,C46*0.95))</f>
        <v>668.59954999999991</v>
      </c>
    </row>
    <row r="50" spans="1:6" ht="17.25" customHeight="1" x14ac:dyDescent="0.3">
      <c r="B50" s="483"/>
      <c r="C50" s="94">
        <f>IF(C46&lt;=80, 10%, IF(C46&lt;250, 7.5%, 5%))</f>
        <v>0.05</v>
      </c>
      <c r="D50" s="81">
        <f>IF(C46&lt;=80, C46*1.1, IF(C46&lt;250, C46*1.075, C46*1.05))</f>
        <v>738.97845000000007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/>
      <c r="C53" s="72"/>
      <c r="D53" s="71"/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0" zoomScale="70" zoomScaleNormal="60" zoomScaleSheetLayoutView="70" zoomScalePageLayoutView="48" workbookViewId="0">
      <selection activeCell="E24" sqref="E24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19" t="s">
        <v>44</v>
      </c>
      <c r="B1" s="519"/>
      <c r="C1" s="519"/>
      <c r="D1" s="519"/>
      <c r="E1" s="519"/>
      <c r="F1" s="519"/>
      <c r="G1" s="519"/>
      <c r="H1" s="519"/>
      <c r="I1" s="519"/>
    </row>
    <row r="2" spans="1:9" ht="18.75" customHeight="1" x14ac:dyDescent="0.3">
      <c r="A2" s="519"/>
      <c r="B2" s="519"/>
      <c r="C2" s="519"/>
      <c r="D2" s="519"/>
      <c r="E2" s="519"/>
      <c r="F2" s="519"/>
      <c r="G2" s="519"/>
      <c r="H2" s="519"/>
      <c r="I2" s="519"/>
    </row>
    <row r="3" spans="1:9" ht="18.75" customHeight="1" x14ac:dyDescent="0.3">
      <c r="A3" s="519"/>
      <c r="B3" s="519"/>
      <c r="C3" s="519"/>
      <c r="D3" s="519"/>
      <c r="E3" s="519"/>
      <c r="F3" s="519"/>
      <c r="G3" s="519"/>
      <c r="H3" s="519"/>
      <c r="I3" s="519"/>
    </row>
    <row r="4" spans="1:9" ht="18.75" customHeight="1" x14ac:dyDescent="0.3">
      <c r="A4" s="519"/>
      <c r="B4" s="519"/>
      <c r="C4" s="519"/>
      <c r="D4" s="519"/>
      <c r="E4" s="519"/>
      <c r="F4" s="519"/>
      <c r="G4" s="519"/>
      <c r="H4" s="519"/>
      <c r="I4" s="519"/>
    </row>
    <row r="5" spans="1:9" ht="18.75" customHeight="1" x14ac:dyDescent="0.3">
      <c r="A5" s="519"/>
      <c r="B5" s="519"/>
      <c r="C5" s="519"/>
      <c r="D5" s="519"/>
      <c r="E5" s="519"/>
      <c r="F5" s="519"/>
      <c r="G5" s="519"/>
      <c r="H5" s="519"/>
      <c r="I5" s="519"/>
    </row>
    <row r="6" spans="1:9" ht="18.75" customHeight="1" x14ac:dyDescent="0.3">
      <c r="A6" s="519"/>
      <c r="B6" s="519"/>
      <c r="C6" s="519"/>
      <c r="D6" s="519"/>
      <c r="E6" s="519"/>
      <c r="F6" s="519"/>
      <c r="G6" s="519"/>
      <c r="H6" s="519"/>
      <c r="I6" s="519"/>
    </row>
    <row r="7" spans="1:9" ht="18.75" customHeight="1" x14ac:dyDescent="0.3">
      <c r="A7" s="519"/>
      <c r="B7" s="519"/>
      <c r="C7" s="519"/>
      <c r="D7" s="519"/>
      <c r="E7" s="519"/>
      <c r="F7" s="519"/>
      <c r="G7" s="519"/>
      <c r="H7" s="519"/>
      <c r="I7" s="519"/>
    </row>
    <row r="8" spans="1:9" x14ac:dyDescent="0.3">
      <c r="A8" s="520" t="s">
        <v>45</v>
      </c>
      <c r="B8" s="520"/>
      <c r="C8" s="520"/>
      <c r="D8" s="520"/>
      <c r="E8" s="520"/>
      <c r="F8" s="520"/>
      <c r="G8" s="520"/>
      <c r="H8" s="520"/>
      <c r="I8" s="520"/>
    </row>
    <row r="9" spans="1:9" x14ac:dyDescent="0.3">
      <c r="A9" s="520"/>
      <c r="B9" s="520"/>
      <c r="C9" s="520"/>
      <c r="D9" s="520"/>
      <c r="E9" s="520"/>
      <c r="F9" s="520"/>
      <c r="G9" s="520"/>
      <c r="H9" s="520"/>
      <c r="I9" s="520"/>
    </row>
    <row r="10" spans="1:9" x14ac:dyDescent="0.3">
      <c r="A10" s="520"/>
      <c r="B10" s="520"/>
      <c r="C10" s="520"/>
      <c r="D10" s="520"/>
      <c r="E10" s="520"/>
      <c r="F10" s="520"/>
      <c r="G10" s="520"/>
      <c r="H10" s="520"/>
      <c r="I10" s="520"/>
    </row>
    <row r="11" spans="1:9" x14ac:dyDescent="0.3">
      <c r="A11" s="520"/>
      <c r="B11" s="520"/>
      <c r="C11" s="520"/>
      <c r="D11" s="520"/>
      <c r="E11" s="520"/>
      <c r="F11" s="520"/>
      <c r="G11" s="520"/>
      <c r="H11" s="520"/>
      <c r="I11" s="520"/>
    </row>
    <row r="12" spans="1:9" x14ac:dyDescent="0.3">
      <c r="A12" s="520"/>
      <c r="B12" s="520"/>
      <c r="C12" s="520"/>
      <c r="D12" s="520"/>
      <c r="E12" s="520"/>
      <c r="F12" s="520"/>
      <c r="G12" s="520"/>
      <c r="H12" s="520"/>
      <c r="I12" s="520"/>
    </row>
    <row r="13" spans="1:9" x14ac:dyDescent="0.3">
      <c r="A13" s="520"/>
      <c r="B13" s="520"/>
      <c r="C13" s="520"/>
      <c r="D13" s="520"/>
      <c r="E13" s="520"/>
      <c r="F13" s="520"/>
      <c r="G13" s="520"/>
      <c r="H13" s="520"/>
      <c r="I13" s="520"/>
    </row>
    <row r="14" spans="1:9" x14ac:dyDescent="0.3">
      <c r="A14" s="520"/>
      <c r="B14" s="520"/>
      <c r="C14" s="520"/>
      <c r="D14" s="520"/>
      <c r="E14" s="520"/>
      <c r="F14" s="520"/>
      <c r="G14" s="520"/>
      <c r="H14" s="520"/>
      <c r="I14" s="520"/>
    </row>
    <row r="15" spans="1:9" ht="19.5" customHeight="1" x14ac:dyDescent="0.35">
      <c r="A15" s="98"/>
    </row>
    <row r="16" spans="1:9" ht="19.5" customHeight="1" x14ac:dyDescent="0.35">
      <c r="A16" s="491" t="s">
        <v>30</v>
      </c>
      <c r="B16" s="492"/>
      <c r="C16" s="492"/>
      <c r="D16" s="492"/>
      <c r="E16" s="492"/>
      <c r="F16" s="492"/>
      <c r="G16" s="492"/>
      <c r="H16" s="493"/>
    </row>
    <row r="17" spans="1:14" ht="20.25" customHeight="1" x14ac:dyDescent="0.3">
      <c r="A17" s="494" t="s">
        <v>46</v>
      </c>
      <c r="B17" s="494"/>
      <c r="C17" s="494"/>
      <c r="D17" s="494"/>
      <c r="E17" s="494"/>
      <c r="F17" s="494"/>
      <c r="G17" s="494"/>
      <c r="H17" s="494"/>
    </row>
    <row r="18" spans="1:14" ht="26.25" customHeight="1" x14ac:dyDescent="0.5">
      <c r="A18" s="100" t="s">
        <v>32</v>
      </c>
      <c r="B18" s="490" t="s">
        <v>4</v>
      </c>
      <c r="C18" s="490"/>
      <c r="D18" s="265"/>
      <c r="E18" s="101"/>
      <c r="F18" s="102"/>
      <c r="G18" s="102"/>
      <c r="H18" s="102"/>
    </row>
    <row r="19" spans="1:14" ht="26.25" customHeight="1" x14ac:dyDescent="0.5">
      <c r="A19" s="100" t="s">
        <v>33</v>
      </c>
      <c r="B19" s="103" t="s">
        <v>6</v>
      </c>
      <c r="C19" s="270">
        <v>29</v>
      </c>
      <c r="D19" s="102"/>
      <c r="E19" s="102"/>
      <c r="F19" s="102"/>
      <c r="G19" s="102"/>
      <c r="H19" s="102"/>
    </row>
    <row r="20" spans="1:14" ht="26.25" customHeight="1" x14ac:dyDescent="0.5">
      <c r="A20" s="100" t="s">
        <v>34</v>
      </c>
      <c r="B20" s="495" t="s">
        <v>130</v>
      </c>
      <c r="C20" s="495"/>
      <c r="D20" s="102"/>
      <c r="E20" s="102"/>
      <c r="F20" s="102"/>
      <c r="G20" s="102"/>
      <c r="H20" s="102"/>
    </row>
    <row r="21" spans="1:14" ht="26.25" customHeight="1" x14ac:dyDescent="0.5">
      <c r="A21" s="100" t="s">
        <v>35</v>
      </c>
      <c r="B21" s="495" t="s">
        <v>129</v>
      </c>
      <c r="C21" s="495"/>
      <c r="D21" s="495"/>
      <c r="E21" s="495"/>
      <c r="F21" s="495"/>
      <c r="G21" s="495"/>
      <c r="H21" s="495"/>
      <c r="I21" s="104"/>
    </row>
    <row r="22" spans="1:14" ht="26.25" customHeight="1" x14ac:dyDescent="0.5">
      <c r="A22" s="100" t="s">
        <v>36</v>
      </c>
      <c r="B22" s="105">
        <v>42618.395694444444</v>
      </c>
      <c r="C22" s="102"/>
      <c r="D22" s="102"/>
      <c r="E22" s="102"/>
      <c r="F22" s="102"/>
      <c r="G22" s="102"/>
      <c r="H22" s="102"/>
    </row>
    <row r="23" spans="1:14" ht="26.25" customHeight="1" x14ac:dyDescent="0.5">
      <c r="A23" s="100" t="s">
        <v>37</v>
      </c>
      <c r="B23" s="105">
        <v>42619.39570601852</v>
      </c>
      <c r="C23" s="102"/>
      <c r="D23" s="102"/>
      <c r="E23" s="102"/>
      <c r="F23" s="102"/>
      <c r="G23" s="102"/>
      <c r="H23" s="102"/>
    </row>
    <row r="24" spans="1:14" ht="18" x14ac:dyDescent="0.35">
      <c r="A24" s="100"/>
      <c r="B24" s="106"/>
    </row>
    <row r="25" spans="1:14" ht="18" x14ac:dyDescent="0.35">
      <c r="A25" s="107" t="s">
        <v>1</v>
      </c>
      <c r="B25" s="106"/>
    </row>
    <row r="26" spans="1:14" ht="26.25" customHeight="1" x14ac:dyDescent="0.45">
      <c r="A26" s="108" t="s">
        <v>3</v>
      </c>
      <c r="B26" s="490" t="s">
        <v>126</v>
      </c>
      <c r="C26" s="490"/>
    </row>
    <row r="27" spans="1:14" ht="26.25" customHeight="1" x14ac:dyDescent="0.5">
      <c r="A27" s="109" t="s">
        <v>47</v>
      </c>
      <c r="B27" s="496" t="s">
        <v>125</v>
      </c>
      <c r="C27" s="496"/>
    </row>
    <row r="28" spans="1:14" ht="27" customHeight="1" x14ac:dyDescent="0.45">
      <c r="A28" s="109" t="s">
        <v>5</v>
      </c>
      <c r="B28" s="110">
        <v>96.9</v>
      </c>
      <c r="H28" s="451"/>
    </row>
    <row r="29" spans="1:14" s="14" customFormat="1" ht="27" customHeight="1" x14ac:dyDescent="0.5">
      <c r="A29" s="109" t="s">
        <v>48</v>
      </c>
      <c r="B29" s="111">
        <v>0</v>
      </c>
      <c r="C29" s="497" t="s">
        <v>49</v>
      </c>
      <c r="D29" s="498"/>
      <c r="E29" s="498"/>
      <c r="F29" s="498"/>
      <c r="G29" s="499"/>
      <c r="H29" s="451"/>
      <c r="I29" s="112"/>
      <c r="J29" s="112"/>
      <c r="K29" s="112"/>
      <c r="L29" s="112"/>
    </row>
    <row r="30" spans="1:14" s="14" customFormat="1" ht="19.5" customHeight="1" x14ac:dyDescent="0.35">
      <c r="A30" s="109" t="s">
        <v>50</v>
      </c>
      <c r="B30" s="113">
        <f>B28-B29</f>
        <v>96.9</v>
      </c>
      <c r="C30" s="114"/>
      <c r="D30" s="114"/>
      <c r="E30" s="114"/>
      <c r="F30" s="114"/>
      <c r="G30" s="115"/>
      <c r="H30" s="451"/>
      <c r="I30" s="112"/>
      <c r="J30" s="112"/>
      <c r="K30" s="112"/>
      <c r="L30" s="112"/>
    </row>
    <row r="31" spans="1:14" s="14" customFormat="1" ht="27" customHeight="1" x14ac:dyDescent="0.45">
      <c r="A31" s="109" t="s">
        <v>51</v>
      </c>
      <c r="B31" s="116">
        <v>407.31400000000002</v>
      </c>
      <c r="C31" s="500" t="s">
        <v>52</v>
      </c>
      <c r="D31" s="501"/>
      <c r="E31" s="501"/>
      <c r="F31" s="501"/>
      <c r="G31" s="501"/>
      <c r="H31" s="502"/>
      <c r="I31" s="112"/>
      <c r="J31" s="112"/>
      <c r="K31" s="112"/>
      <c r="L31" s="112"/>
    </row>
    <row r="32" spans="1:14" s="14" customFormat="1" ht="27" customHeight="1" x14ac:dyDescent="0.45">
      <c r="A32" s="109" t="s">
        <v>53</v>
      </c>
      <c r="B32" s="116">
        <f>523.32-18.02</f>
        <v>505.30000000000007</v>
      </c>
      <c r="C32" s="500" t="s">
        <v>54</v>
      </c>
      <c r="D32" s="501"/>
      <c r="E32" s="501"/>
      <c r="F32" s="501"/>
      <c r="G32" s="501"/>
      <c r="H32" s="502"/>
      <c r="I32" s="112"/>
      <c r="J32" s="112"/>
      <c r="K32" s="112"/>
      <c r="L32" s="117"/>
      <c r="M32" s="117"/>
      <c r="N32" s="118"/>
    </row>
    <row r="33" spans="1:14" s="14" customFormat="1" ht="17.25" customHeight="1" x14ac:dyDescent="0.35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" x14ac:dyDescent="0.35">
      <c r="A34" s="109" t="s">
        <v>55</v>
      </c>
      <c r="B34" s="121">
        <f>B31/B32</f>
        <v>0.80608351474371653</v>
      </c>
      <c r="C34" s="99" t="s">
        <v>56</v>
      </c>
      <c r="D34" s="99"/>
      <c r="E34" s="99"/>
      <c r="F34" s="99"/>
      <c r="G34" s="99"/>
      <c r="H34" s="451"/>
      <c r="I34" s="112"/>
      <c r="J34" s="112"/>
      <c r="K34" s="112"/>
      <c r="L34" s="117"/>
      <c r="M34" s="117"/>
      <c r="N34" s="118"/>
    </row>
    <row r="35" spans="1:14" s="14" customFormat="1" ht="19.5" customHeight="1" x14ac:dyDescent="0.35">
      <c r="A35" s="109"/>
      <c r="B35" s="113"/>
      <c r="C35" s="378"/>
      <c r="D35" s="378"/>
      <c r="E35" s="378"/>
      <c r="F35" s="378"/>
      <c r="G35" s="99"/>
      <c r="H35" s="451"/>
      <c r="I35" s="112"/>
      <c r="J35" s="112"/>
      <c r="K35" s="112"/>
      <c r="L35" s="117"/>
      <c r="M35" s="117"/>
      <c r="N35" s="118"/>
    </row>
    <row r="36" spans="1:14" s="14" customFormat="1" ht="27" customHeight="1" x14ac:dyDescent="0.45">
      <c r="A36" s="122" t="s">
        <v>57</v>
      </c>
      <c r="B36" s="123">
        <v>25</v>
      </c>
      <c r="C36" s="99"/>
      <c r="D36" s="503" t="s">
        <v>58</v>
      </c>
      <c r="E36" s="504"/>
      <c r="F36" s="505" t="s">
        <v>59</v>
      </c>
      <c r="G36" s="506"/>
      <c r="H36" s="451"/>
      <c r="J36" s="112"/>
      <c r="K36" s="112"/>
      <c r="L36" s="117"/>
      <c r="M36" s="117"/>
      <c r="N36" s="118"/>
    </row>
    <row r="37" spans="1:14" s="14" customFormat="1" ht="27" customHeight="1" x14ac:dyDescent="0.45">
      <c r="A37" s="124" t="s">
        <v>60</v>
      </c>
      <c r="B37" s="125">
        <v>5</v>
      </c>
      <c r="C37" s="126" t="s">
        <v>61</v>
      </c>
      <c r="D37" s="127" t="s">
        <v>62</v>
      </c>
      <c r="E37" s="128" t="s">
        <v>63</v>
      </c>
      <c r="F37" s="463" t="s">
        <v>62</v>
      </c>
      <c r="G37" s="464" t="s">
        <v>63</v>
      </c>
      <c r="H37" s="451"/>
      <c r="I37" s="129" t="s">
        <v>64</v>
      </c>
      <c r="J37" s="112"/>
      <c r="K37" s="112"/>
      <c r="L37" s="117"/>
      <c r="M37" s="117"/>
      <c r="N37" s="118"/>
    </row>
    <row r="38" spans="1:14" s="14" customFormat="1" ht="26.25" customHeight="1" x14ac:dyDescent="0.45">
      <c r="A38" s="124" t="s">
        <v>65</v>
      </c>
      <c r="B38" s="125">
        <v>50</v>
      </c>
      <c r="C38" s="130">
        <v>1</v>
      </c>
      <c r="D38" s="131">
        <v>18713970</v>
      </c>
      <c r="E38" s="132">
        <f>IF(ISBLANK(D38),"-",$D$48/$D$45*D38)</f>
        <v>19676935.99666464</v>
      </c>
      <c r="F38" s="465">
        <v>19194742</v>
      </c>
      <c r="G38" s="466">
        <f>IF(ISBLANK(F38),"-",$D$48/$F$45*F38)</f>
        <v>18961533.646032941</v>
      </c>
      <c r="H38" s="451"/>
      <c r="I38" s="134"/>
      <c r="J38" s="112"/>
      <c r="K38" s="112"/>
      <c r="L38" s="117"/>
      <c r="M38" s="117"/>
      <c r="N38" s="118"/>
    </row>
    <row r="39" spans="1:14" s="14" customFormat="1" ht="26.25" customHeight="1" x14ac:dyDescent="0.45">
      <c r="A39" s="124" t="s">
        <v>66</v>
      </c>
      <c r="B39" s="125">
        <v>5</v>
      </c>
      <c r="C39" s="135">
        <v>2</v>
      </c>
      <c r="D39" s="136">
        <v>18846306</v>
      </c>
      <c r="E39" s="137">
        <f>IF(ISBLANK(D39),"-",$D$48/$D$45*D39)</f>
        <v>19816081.619002104</v>
      </c>
      <c r="F39" s="467">
        <v>19614538</v>
      </c>
      <c r="G39" s="468">
        <f>IF(ISBLANK(F39),"-",$D$48/$F$45*F39)</f>
        <v>19376229.29437612</v>
      </c>
      <c r="H39" s="451"/>
      <c r="I39" s="508">
        <f>ABS((F43/D43*D42)-F42)/D42</f>
        <v>2.4451292074028859E-2</v>
      </c>
      <c r="J39" s="112"/>
      <c r="K39" s="112"/>
      <c r="L39" s="117"/>
      <c r="M39" s="117"/>
      <c r="N39" s="118"/>
    </row>
    <row r="40" spans="1:14" ht="26.25" customHeight="1" x14ac:dyDescent="0.45">
      <c r="A40" s="124" t="s">
        <v>67</v>
      </c>
      <c r="B40" s="125">
        <v>10</v>
      </c>
      <c r="C40" s="135">
        <v>3</v>
      </c>
      <c r="D40" s="136">
        <v>18914451</v>
      </c>
      <c r="E40" s="137">
        <f>IF(ISBLANK(D40),"-",$D$48/$D$45*D40)</f>
        <v>19887733.16079108</v>
      </c>
      <c r="F40" s="467">
        <v>19920916</v>
      </c>
      <c r="G40" s="468">
        <f>IF(ISBLANK(F40),"-",$D$48/$F$45*F40)</f>
        <v>19678884.925559092</v>
      </c>
      <c r="H40" s="451"/>
      <c r="I40" s="508"/>
      <c r="L40" s="117"/>
      <c r="M40" s="117"/>
      <c r="N40" s="139"/>
    </row>
    <row r="41" spans="1:14" ht="27" customHeight="1" x14ac:dyDescent="0.45">
      <c r="A41" s="124" t="s">
        <v>68</v>
      </c>
      <c r="B41" s="125">
        <v>1</v>
      </c>
      <c r="C41" s="140">
        <v>4</v>
      </c>
      <c r="D41" s="141"/>
      <c r="E41" s="142" t="str">
        <f>IF(ISBLANK(D41),"-",$D$48/$D$45*D41)</f>
        <v>-</v>
      </c>
      <c r="F41" s="469"/>
      <c r="G41" s="470" t="str">
        <f>IF(ISBLANK(F41),"-",$D$48/$F$45*F41)</f>
        <v>-</v>
      </c>
      <c r="I41" s="144"/>
      <c r="L41" s="117"/>
      <c r="M41" s="117"/>
      <c r="N41" s="139"/>
    </row>
    <row r="42" spans="1:14" ht="27" customHeight="1" x14ac:dyDescent="0.45">
      <c r="A42" s="124" t="s">
        <v>69</v>
      </c>
      <c r="B42" s="125">
        <v>1</v>
      </c>
      <c r="C42" s="145" t="s">
        <v>70</v>
      </c>
      <c r="D42" s="146">
        <f>AVERAGE(D38:D41)</f>
        <v>18824909</v>
      </c>
      <c r="E42" s="147">
        <f>AVERAGE(E38:E41)</f>
        <v>19793583.59215261</v>
      </c>
      <c r="F42" s="471">
        <f>AVERAGE(F38:F41)</f>
        <v>19576732</v>
      </c>
      <c r="G42" s="472">
        <f>AVERAGE(G38:G41)</f>
        <v>19338882.621989384</v>
      </c>
      <c r="H42" s="148"/>
    </row>
    <row r="43" spans="1:14" ht="26.25" customHeight="1" x14ac:dyDescent="0.45">
      <c r="A43" s="124" t="s">
        <v>71</v>
      </c>
      <c r="B43" s="125">
        <v>1</v>
      </c>
      <c r="C43" s="149" t="s">
        <v>72</v>
      </c>
      <c r="D43" s="150">
        <v>15.22</v>
      </c>
      <c r="E43" s="139"/>
      <c r="F43" s="478">
        <v>16.2</v>
      </c>
      <c r="H43" s="148"/>
    </row>
    <row r="44" spans="1:14" ht="26.25" customHeight="1" x14ac:dyDescent="0.45">
      <c r="A44" s="124" t="s">
        <v>73</v>
      </c>
      <c r="B44" s="125">
        <v>1</v>
      </c>
      <c r="C44" s="151" t="s">
        <v>74</v>
      </c>
      <c r="D44" s="152">
        <f>D43*$B$34</f>
        <v>12.268591094399365</v>
      </c>
      <c r="E44" s="153"/>
      <c r="F44" s="152">
        <f>F43*$B$34</f>
        <v>13.058552938848207</v>
      </c>
      <c r="H44" s="148"/>
    </row>
    <row r="45" spans="1:14" ht="19.5" customHeight="1" x14ac:dyDescent="0.35">
      <c r="A45" s="124" t="s">
        <v>75</v>
      </c>
      <c r="B45" s="154">
        <f>(B44/B43)*(B42/B41)*(B40/B39)*(B38/B37)*B36</f>
        <v>500</v>
      </c>
      <c r="C45" s="151" t="s">
        <v>76</v>
      </c>
      <c r="D45" s="155">
        <f>D44*$B$30/100</f>
        <v>11.888264770472986</v>
      </c>
      <c r="E45" s="156"/>
      <c r="F45" s="155">
        <f>F44*$B$30/100</f>
        <v>12.653737797743913</v>
      </c>
      <c r="H45" s="148"/>
    </row>
    <row r="46" spans="1:14" ht="19.5" customHeight="1" x14ac:dyDescent="0.35">
      <c r="A46" s="509" t="s">
        <v>77</v>
      </c>
      <c r="B46" s="510"/>
      <c r="C46" s="151" t="s">
        <v>78</v>
      </c>
      <c r="D46" s="157">
        <f>D45/$B$45</f>
        <v>2.3776529540945973E-2</v>
      </c>
      <c r="E46" s="158"/>
      <c r="F46" s="159">
        <f>F45/$B$45</f>
        <v>2.5307475595487825E-2</v>
      </c>
      <c r="H46" s="148"/>
    </row>
    <row r="47" spans="1:14" ht="27" customHeight="1" x14ac:dyDescent="0.45">
      <c r="A47" s="511"/>
      <c r="B47" s="512"/>
      <c r="C47" s="160" t="s">
        <v>79</v>
      </c>
      <c r="D47" s="161">
        <f>25/100*5/50</f>
        <v>2.5000000000000001E-2</v>
      </c>
      <c r="E47" s="162"/>
      <c r="F47" s="158"/>
      <c r="H47" s="148"/>
    </row>
    <row r="48" spans="1:14" ht="18" x14ac:dyDescent="0.35">
      <c r="C48" s="163" t="s">
        <v>80</v>
      </c>
      <c r="D48" s="155">
        <f>D47*$B$45</f>
        <v>12.5</v>
      </c>
      <c r="F48" s="164"/>
      <c r="H48" s="148"/>
    </row>
    <row r="49" spans="1:12" ht="19.5" customHeight="1" x14ac:dyDescent="0.35">
      <c r="C49" s="165" t="s">
        <v>81</v>
      </c>
      <c r="D49" s="166">
        <f>D48/B34</f>
        <v>15.507078077355555</v>
      </c>
      <c r="F49" s="164"/>
      <c r="H49" s="148"/>
    </row>
    <row r="50" spans="1:12" ht="18" x14ac:dyDescent="0.35">
      <c r="C50" s="122" t="s">
        <v>82</v>
      </c>
      <c r="D50" s="167">
        <f>AVERAGE(E38:E41,G38:G41)</f>
        <v>19566233.107070997</v>
      </c>
      <c r="F50" s="168"/>
      <c r="H50" s="148"/>
    </row>
    <row r="51" spans="1:12" ht="18" x14ac:dyDescent="0.35">
      <c r="C51" s="124" t="s">
        <v>83</v>
      </c>
      <c r="D51" s="169">
        <f>STDEV(E38:E41,G38:G41)/D50</f>
        <v>1.7593414062283548E-2</v>
      </c>
      <c r="F51" s="168"/>
      <c r="H51" s="148"/>
    </row>
    <row r="52" spans="1:12" ht="19.5" customHeight="1" x14ac:dyDescent="0.35">
      <c r="C52" s="170" t="s">
        <v>19</v>
      </c>
      <c r="D52" s="171">
        <f>COUNT(E38:E41,G38:G41)</f>
        <v>6</v>
      </c>
      <c r="F52" s="168"/>
    </row>
    <row r="54" spans="1:12" ht="18" x14ac:dyDescent="0.35">
      <c r="A54" s="172" t="s">
        <v>1</v>
      </c>
      <c r="B54" s="173" t="s">
        <v>84</v>
      </c>
    </row>
    <row r="55" spans="1:12" ht="18" x14ac:dyDescent="0.35">
      <c r="A55" s="99" t="s">
        <v>85</v>
      </c>
      <c r="B55" s="174" t="str">
        <f>B21</f>
        <v>Eacl tablet contains: Sitagliptin phosphate INN Equivalent to 50 mg Sitagliptin and Metformin Hydrochloride 500 mg</v>
      </c>
    </row>
    <row r="56" spans="1:12" ht="26.25" customHeight="1" x14ac:dyDescent="0.45">
      <c r="A56" s="175" t="s">
        <v>86</v>
      </c>
      <c r="B56" s="176">
        <v>50</v>
      </c>
      <c r="C56" s="99" t="str">
        <f>B20</f>
        <v>Sitagliptin (as Phosphate)</v>
      </c>
      <c r="H56" s="177"/>
    </row>
    <row r="57" spans="1:12" ht="18" x14ac:dyDescent="0.35">
      <c r="A57" s="174" t="s">
        <v>134</v>
      </c>
      <c r="B57" s="266">
        <f>Uniformity!C46</f>
        <v>703.78899999999999</v>
      </c>
      <c r="H57" s="177"/>
    </row>
    <row r="58" spans="1:12" ht="19.5" customHeight="1" x14ac:dyDescent="0.35">
      <c r="H58" s="177"/>
    </row>
    <row r="59" spans="1:12" s="14" customFormat="1" ht="27" customHeight="1" x14ac:dyDescent="0.45">
      <c r="A59" s="122" t="s">
        <v>88</v>
      </c>
      <c r="B59" s="123">
        <v>100</v>
      </c>
      <c r="C59" s="99"/>
      <c r="D59" s="178" t="s">
        <v>89</v>
      </c>
      <c r="E59" s="179" t="s">
        <v>61</v>
      </c>
      <c r="F59" s="179" t="s">
        <v>62</v>
      </c>
      <c r="G59" s="179" t="s">
        <v>90</v>
      </c>
      <c r="H59" s="126" t="s">
        <v>91</v>
      </c>
      <c r="L59" s="112"/>
    </row>
    <row r="60" spans="1:12" s="14" customFormat="1" ht="26.25" customHeight="1" x14ac:dyDescent="0.45">
      <c r="A60" s="124" t="s">
        <v>92</v>
      </c>
      <c r="B60" s="125">
        <v>5</v>
      </c>
      <c r="C60" s="513" t="s">
        <v>93</v>
      </c>
      <c r="D60" s="516">
        <v>350.6</v>
      </c>
      <c r="E60" s="180">
        <v>1</v>
      </c>
      <c r="F60" s="181">
        <v>20018670</v>
      </c>
      <c r="G60" s="473">
        <f>IF(ISBLANK(F60),"-",(F60/$D$50*$D$47*$B$68)*($B$57/$D$60))</f>
        <v>51.345048537513541</v>
      </c>
      <c r="H60" s="182">
        <f t="shared" ref="H60:H71" si="0">IF(ISBLANK(F60),"-",G60/$B$56)</f>
        <v>1.0269009707502708</v>
      </c>
      <c r="L60" s="112"/>
    </row>
    <row r="61" spans="1:12" s="14" customFormat="1" ht="26.25" customHeight="1" x14ac:dyDescent="0.45">
      <c r="A61" s="124" t="s">
        <v>94</v>
      </c>
      <c r="B61" s="125">
        <v>50</v>
      </c>
      <c r="C61" s="514"/>
      <c r="D61" s="517"/>
      <c r="E61" s="183">
        <v>2</v>
      </c>
      <c r="F61" s="136">
        <v>20033462</v>
      </c>
      <c r="G61" s="474">
        <f>IF(ISBLANK(F61),"-",(F61/$D$50*$D$47*$B$68)*($B$57/$D$60))</f>
        <v>51.382987918999277</v>
      </c>
      <c r="H61" s="184">
        <f t="shared" si="0"/>
        <v>1.0276597583799856</v>
      </c>
      <c r="L61" s="112"/>
    </row>
    <row r="62" spans="1:12" s="14" customFormat="1" ht="26.25" customHeight="1" x14ac:dyDescent="0.45">
      <c r="A62" s="124" t="s">
        <v>95</v>
      </c>
      <c r="B62" s="125">
        <v>1</v>
      </c>
      <c r="C62" s="514"/>
      <c r="D62" s="517"/>
      <c r="E62" s="183">
        <v>3</v>
      </c>
      <c r="F62" s="185">
        <v>20076254</v>
      </c>
      <c r="G62" s="474">
        <f>IF(ISBLANK(F62),"-",(F62/$D$50*$D$47*$B$68)*($B$57/$D$60))</f>
        <v>51.492743328175663</v>
      </c>
      <c r="H62" s="184">
        <f t="shared" si="0"/>
        <v>1.0298548665635132</v>
      </c>
      <c r="L62" s="112"/>
    </row>
    <row r="63" spans="1:12" ht="27" customHeight="1" x14ac:dyDescent="0.45">
      <c r="A63" s="124" t="s">
        <v>96</v>
      </c>
      <c r="B63" s="125">
        <v>1</v>
      </c>
      <c r="C63" s="515"/>
      <c r="D63" s="518"/>
      <c r="E63" s="186">
        <v>4</v>
      </c>
      <c r="F63" s="187"/>
      <c r="G63" s="474" t="str">
        <f>IF(ISBLANK(F63),"-",(F63/$D$50*$D$47*$B$68)*($B$57/$D$60))</f>
        <v>-</v>
      </c>
      <c r="H63" s="184" t="str">
        <f t="shared" si="0"/>
        <v>-</v>
      </c>
    </row>
    <row r="64" spans="1:12" ht="26.25" customHeight="1" x14ac:dyDescent="0.45">
      <c r="A64" s="124" t="s">
        <v>97</v>
      </c>
      <c r="B64" s="125">
        <v>1</v>
      </c>
      <c r="C64" s="513" t="s">
        <v>98</v>
      </c>
      <c r="D64" s="516">
        <v>350.51</v>
      </c>
      <c r="E64" s="180">
        <v>1</v>
      </c>
      <c r="F64" s="181">
        <v>20075467</v>
      </c>
      <c r="G64" s="475">
        <f>IF(ISBLANK(F64),"-",(F64/$D$50*$D$47*$B$68)*($B$57/$D$64))</f>
        <v>51.503945991726262</v>
      </c>
      <c r="H64" s="188">
        <f t="shared" si="0"/>
        <v>1.0300789198345253</v>
      </c>
    </row>
    <row r="65" spans="1:8" ht="26.25" customHeight="1" x14ac:dyDescent="0.45">
      <c r="A65" s="124" t="s">
        <v>99</v>
      </c>
      <c r="B65" s="125">
        <v>1</v>
      </c>
      <c r="C65" s="514"/>
      <c r="D65" s="517"/>
      <c r="E65" s="183">
        <v>2</v>
      </c>
      <c r="F65" s="136">
        <v>20121991</v>
      </c>
      <c r="G65" s="476">
        <f>IF(ISBLANK(F65),"-",(F65/$D$50*$D$47*$B$68)*($B$57/$D$64))</f>
        <v>51.623304091008301</v>
      </c>
      <c r="H65" s="189">
        <f t="shared" si="0"/>
        <v>1.0324660818201661</v>
      </c>
    </row>
    <row r="66" spans="1:8" ht="26.25" customHeight="1" x14ac:dyDescent="0.45">
      <c r="A66" s="124" t="s">
        <v>100</v>
      </c>
      <c r="B66" s="125">
        <v>1</v>
      </c>
      <c r="C66" s="514"/>
      <c r="D66" s="517"/>
      <c r="E66" s="183">
        <v>3</v>
      </c>
      <c r="F66" s="136">
        <v>20224170</v>
      </c>
      <c r="G66" s="476">
        <f>IF(ISBLANK(F66),"-",(F66/$D$50*$D$47*$B$68)*($B$57/$D$64))</f>
        <v>51.885446022625054</v>
      </c>
      <c r="H66" s="189">
        <f t="shared" si="0"/>
        <v>1.0377089204525012</v>
      </c>
    </row>
    <row r="67" spans="1:8" ht="27" customHeight="1" x14ac:dyDescent="0.45">
      <c r="A67" s="124" t="s">
        <v>101</v>
      </c>
      <c r="B67" s="125">
        <v>1</v>
      </c>
      <c r="C67" s="515"/>
      <c r="D67" s="518"/>
      <c r="E67" s="186">
        <v>4</v>
      </c>
      <c r="F67" s="187"/>
      <c r="G67" s="477" t="str">
        <f>IF(ISBLANK(F67),"-",(F67/$D$50*$D$47*$B$68)*($B$57/$D$64))</f>
        <v>-</v>
      </c>
      <c r="H67" s="190" t="str">
        <f t="shared" si="0"/>
        <v>-</v>
      </c>
    </row>
    <row r="68" spans="1:8" ht="26.25" customHeight="1" x14ac:dyDescent="0.5">
      <c r="A68" s="124" t="s">
        <v>102</v>
      </c>
      <c r="B68" s="191">
        <f>(B67/B66)*(B65/B64)*(B63/B62)*(B61/B60)*B59</f>
        <v>1000</v>
      </c>
      <c r="C68" s="513" t="s">
        <v>103</v>
      </c>
      <c r="D68" s="516">
        <v>349.3</v>
      </c>
      <c r="E68" s="180">
        <v>1</v>
      </c>
      <c r="F68" s="181">
        <v>20063841</v>
      </c>
      <c r="G68" s="475">
        <f>IF(ISBLANK(F68),"-",(F68/$D$50*$D$47*$B$68)*($B$57/$D$68))</f>
        <v>51.652429298343662</v>
      </c>
      <c r="H68" s="184">
        <f t="shared" si="0"/>
        <v>1.0330485859668732</v>
      </c>
    </row>
    <row r="69" spans="1:8" ht="27" customHeight="1" x14ac:dyDescent="0.5">
      <c r="A69" s="170" t="s">
        <v>104</v>
      </c>
      <c r="B69" s="192">
        <f>(D47*B68)/B56*B57</f>
        <v>351.89449999999999</v>
      </c>
      <c r="C69" s="514"/>
      <c r="D69" s="517"/>
      <c r="E69" s="183">
        <v>2</v>
      </c>
      <c r="F69" s="136">
        <v>20204529</v>
      </c>
      <c r="G69" s="476">
        <f>IF(ISBLANK(F69),"-",(F69/$D$50*$D$47*$B$68)*($B$57/$D$68))</f>
        <v>52.01461702566494</v>
      </c>
      <c r="H69" s="184">
        <f t="shared" si="0"/>
        <v>1.0402923405132989</v>
      </c>
    </row>
    <row r="70" spans="1:8" ht="26.25" customHeight="1" x14ac:dyDescent="0.45">
      <c r="A70" s="527" t="s">
        <v>77</v>
      </c>
      <c r="B70" s="528"/>
      <c r="C70" s="514"/>
      <c r="D70" s="517"/>
      <c r="E70" s="183">
        <v>3</v>
      </c>
      <c r="F70" s="136">
        <v>20295968</v>
      </c>
      <c r="G70" s="476">
        <f>IF(ISBLANK(F70),"-",(F70/$D$50*$D$47*$B$68)*($B$57/$D$68))</f>
        <v>52.25001793831229</v>
      </c>
      <c r="H70" s="184">
        <f t="shared" si="0"/>
        <v>1.0450003587662458</v>
      </c>
    </row>
    <row r="71" spans="1:8" ht="27" customHeight="1" x14ac:dyDescent="0.45">
      <c r="A71" s="529"/>
      <c r="B71" s="530"/>
      <c r="C71" s="526"/>
      <c r="D71" s="518"/>
      <c r="E71" s="186">
        <v>4</v>
      </c>
      <c r="F71" s="187"/>
      <c r="G71" s="477" t="str">
        <f>IF(ISBLANK(F71),"-",(F71/$D$50*$D$47*$B$68)*($B$57/$D$68))</f>
        <v>-</v>
      </c>
      <c r="H71" s="193" t="str">
        <f t="shared" si="0"/>
        <v>-</v>
      </c>
    </row>
    <row r="72" spans="1:8" ht="26.25" customHeight="1" x14ac:dyDescent="0.45">
      <c r="A72" s="194"/>
      <c r="B72" s="194"/>
      <c r="C72" s="194"/>
      <c r="D72" s="194"/>
      <c r="E72" s="194"/>
      <c r="F72" s="196" t="s">
        <v>70</v>
      </c>
      <c r="G72" s="268">
        <f>AVERAGE(G60:G71)</f>
        <v>51.683393350263231</v>
      </c>
      <c r="H72" s="197">
        <f>AVERAGE(H60:H71)</f>
        <v>1.0336678670052644</v>
      </c>
    </row>
    <row r="73" spans="1:8" ht="26.25" customHeight="1" x14ac:dyDescent="0.45">
      <c r="C73" s="194"/>
      <c r="D73" s="194"/>
      <c r="E73" s="194"/>
      <c r="F73" s="198" t="s">
        <v>83</v>
      </c>
      <c r="G73" s="267">
        <f>STDEV(G60:G71)/G72</f>
        <v>5.9220419134692458E-3</v>
      </c>
      <c r="H73" s="267">
        <f>STDEV(H60:H71)/H72</f>
        <v>5.9220419134692615E-3</v>
      </c>
    </row>
    <row r="74" spans="1:8" ht="27" customHeight="1" x14ac:dyDescent="0.45">
      <c r="A74" s="194"/>
      <c r="B74" s="194"/>
      <c r="C74" s="195"/>
      <c r="D74" s="195"/>
      <c r="E74" s="199"/>
      <c r="F74" s="200" t="s">
        <v>19</v>
      </c>
      <c r="G74" s="201">
        <f>COUNT(G60:G71)</f>
        <v>9</v>
      </c>
      <c r="H74" s="201">
        <f>COUNT(H60:H71)</f>
        <v>9</v>
      </c>
    </row>
    <row r="76" spans="1:8" ht="26.25" customHeight="1" x14ac:dyDescent="0.45">
      <c r="A76" s="108" t="s">
        <v>105</v>
      </c>
      <c r="B76" s="202" t="s">
        <v>106</v>
      </c>
      <c r="C76" s="521" t="str">
        <f>B20</f>
        <v>Sitagliptin (as Phosphate)</v>
      </c>
      <c r="D76" s="521"/>
      <c r="E76" s="203" t="s">
        <v>107</v>
      </c>
      <c r="F76" s="203"/>
      <c r="G76" s="204">
        <f>H72</f>
        <v>1.0336678670052644</v>
      </c>
      <c r="H76" s="205"/>
    </row>
    <row r="77" spans="1:8" ht="18" x14ac:dyDescent="0.35">
      <c r="A77" s="107" t="s">
        <v>108</v>
      </c>
      <c r="B77" s="107" t="s">
        <v>109</v>
      </c>
    </row>
    <row r="78" spans="1:8" ht="18" x14ac:dyDescent="0.35">
      <c r="A78" s="107"/>
      <c r="B78" s="107"/>
    </row>
    <row r="79" spans="1:8" ht="26.25" customHeight="1" x14ac:dyDescent="0.45">
      <c r="A79" s="108" t="s">
        <v>3</v>
      </c>
      <c r="B79" s="507" t="str">
        <f>B26</f>
        <v>Sitagliptin phosphate</v>
      </c>
      <c r="C79" s="507"/>
    </row>
    <row r="80" spans="1:8" ht="26.25" customHeight="1" x14ac:dyDescent="0.45">
      <c r="A80" s="109" t="s">
        <v>47</v>
      </c>
      <c r="B80" s="507" t="str">
        <f>B27</f>
        <v>S35-1</v>
      </c>
      <c r="C80" s="507"/>
    </row>
    <row r="81" spans="1:12" ht="27" customHeight="1" x14ac:dyDescent="0.45">
      <c r="A81" s="109" t="s">
        <v>5</v>
      </c>
      <c r="B81" s="206">
        <f>B28</f>
        <v>96.9</v>
      </c>
    </row>
    <row r="82" spans="1:12" s="14" customFormat="1" ht="27" customHeight="1" x14ac:dyDescent="0.5">
      <c r="A82" s="109" t="s">
        <v>48</v>
      </c>
      <c r="B82" s="111">
        <v>0</v>
      </c>
      <c r="C82" s="497" t="s">
        <v>49</v>
      </c>
      <c r="D82" s="498"/>
      <c r="E82" s="498"/>
      <c r="F82" s="498"/>
      <c r="G82" s="499"/>
      <c r="I82" s="112"/>
      <c r="J82" s="112"/>
      <c r="K82" s="112"/>
      <c r="L82" s="112"/>
    </row>
    <row r="83" spans="1:12" s="14" customFormat="1" ht="19.5" customHeight="1" x14ac:dyDescent="0.35">
      <c r="A83" s="109" t="s">
        <v>50</v>
      </c>
      <c r="B83" s="113">
        <f>B81-B82</f>
        <v>96.9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5">
      <c r="A84" s="109" t="s">
        <v>51</v>
      </c>
      <c r="B84" s="116">
        <v>407.31</v>
      </c>
      <c r="C84" s="500" t="s">
        <v>110</v>
      </c>
      <c r="D84" s="501"/>
      <c r="E84" s="501"/>
      <c r="F84" s="501"/>
      <c r="G84" s="501"/>
      <c r="H84" s="502"/>
      <c r="I84" s="112"/>
      <c r="J84" s="112"/>
      <c r="K84" s="112"/>
      <c r="L84" s="112"/>
    </row>
    <row r="85" spans="1:12" s="14" customFormat="1" ht="27" customHeight="1" x14ac:dyDescent="0.45">
      <c r="A85" s="109" t="s">
        <v>53</v>
      </c>
      <c r="B85" s="116">
        <v>505.31</v>
      </c>
      <c r="C85" s="500" t="s">
        <v>111</v>
      </c>
      <c r="D85" s="501"/>
      <c r="E85" s="501"/>
      <c r="F85" s="501"/>
      <c r="G85" s="501"/>
      <c r="H85" s="502"/>
      <c r="I85" s="112"/>
      <c r="J85" s="112"/>
      <c r="K85" s="112"/>
      <c r="L85" s="112"/>
    </row>
    <row r="86" spans="1:12" s="14" customFormat="1" ht="18" x14ac:dyDescent="0.35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" x14ac:dyDescent="0.35">
      <c r="A87" s="109" t="s">
        <v>135</v>
      </c>
      <c r="B87" s="121">
        <f>B84/B85</f>
        <v>0.80605964655360074</v>
      </c>
      <c r="C87" s="99" t="s">
        <v>56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5">
      <c r="A88" s="107"/>
      <c r="B88" s="107"/>
    </row>
    <row r="89" spans="1:12" ht="27" customHeight="1" x14ac:dyDescent="0.45">
      <c r="A89" s="122" t="s">
        <v>57</v>
      </c>
      <c r="B89" s="123">
        <v>25</v>
      </c>
      <c r="D89" s="207" t="s">
        <v>58</v>
      </c>
      <c r="E89" s="208"/>
      <c r="F89" s="503" t="s">
        <v>59</v>
      </c>
      <c r="G89" s="523"/>
    </row>
    <row r="90" spans="1:12" ht="27" customHeight="1" x14ac:dyDescent="0.45">
      <c r="A90" s="124" t="s">
        <v>60</v>
      </c>
      <c r="B90" s="125">
        <v>5</v>
      </c>
      <c r="C90" s="209" t="s">
        <v>61</v>
      </c>
      <c r="D90" s="127" t="s">
        <v>62</v>
      </c>
      <c r="E90" s="128" t="s">
        <v>63</v>
      </c>
      <c r="F90" s="127" t="s">
        <v>62</v>
      </c>
      <c r="G90" s="210" t="s">
        <v>63</v>
      </c>
      <c r="I90" s="129" t="s">
        <v>64</v>
      </c>
    </row>
    <row r="91" spans="1:12" ht="26.25" customHeight="1" x14ac:dyDescent="0.45">
      <c r="A91" s="124" t="s">
        <v>65</v>
      </c>
      <c r="B91" s="125">
        <v>50</v>
      </c>
      <c r="C91" s="211">
        <v>1</v>
      </c>
      <c r="D91" s="131">
        <v>18713970</v>
      </c>
      <c r="E91" s="132">
        <f>IF(ISBLANK(D91),"-",$D$101/$D$98*D91)</f>
        <v>21863909.610432502</v>
      </c>
      <c r="F91" s="131">
        <v>19194742</v>
      </c>
      <c r="G91" s="133">
        <f>IF(ISBLANK(F91),"-",$D$101/$F$98*F91)</f>
        <v>21068994.572239883</v>
      </c>
      <c r="I91" s="134"/>
    </row>
    <row r="92" spans="1:12" ht="26.25" customHeight="1" x14ac:dyDescent="0.45">
      <c r="A92" s="124" t="s">
        <v>66</v>
      </c>
      <c r="B92" s="125">
        <v>5</v>
      </c>
      <c r="C92" s="195">
        <v>2</v>
      </c>
      <c r="D92" s="136">
        <v>18846306</v>
      </c>
      <c r="E92" s="137">
        <f>IF(ISBLANK(D92),"-",$D$101/$D$98*D92)</f>
        <v>22018520.435511637</v>
      </c>
      <c r="F92" s="136">
        <v>19614538</v>
      </c>
      <c r="G92" s="138">
        <f>IF(ISBLANK(F92),"-",$D$101/$F$98*F92)</f>
        <v>21529781.158766963</v>
      </c>
      <c r="I92" s="508">
        <f>ABS((F96/D96*D95)-F95)/D95</f>
        <v>2.4451292074028859E-2</v>
      </c>
    </row>
    <row r="93" spans="1:12" ht="26.25" customHeight="1" x14ac:dyDescent="0.45">
      <c r="A93" s="124" t="s">
        <v>67</v>
      </c>
      <c r="B93" s="125">
        <v>10</v>
      </c>
      <c r="C93" s="195">
        <v>3</v>
      </c>
      <c r="D93" s="136">
        <v>18914451</v>
      </c>
      <c r="E93" s="137">
        <f>IF(ISBLANK(D93),"-",$D$101/$D$98*D93)</f>
        <v>22098135.617132798</v>
      </c>
      <c r="F93" s="136">
        <v>19920916</v>
      </c>
      <c r="G93" s="138">
        <f>IF(ISBLANK(F93),"-",$D$101/$F$98*F93)</f>
        <v>21866075.151103705</v>
      </c>
      <c r="I93" s="508"/>
    </row>
    <row r="94" spans="1:12" ht="27" customHeight="1" x14ac:dyDescent="0.45">
      <c r="A94" s="124" t="s">
        <v>68</v>
      </c>
      <c r="B94" s="125">
        <v>1</v>
      </c>
      <c r="C94" s="212">
        <v>4</v>
      </c>
      <c r="D94" s="141"/>
      <c r="E94" s="142" t="str">
        <f>IF(ISBLANK(D94),"-",$D$101/$D$98*D94)</f>
        <v>-</v>
      </c>
      <c r="F94" s="213"/>
      <c r="G94" s="143" t="str">
        <f>IF(ISBLANK(F94),"-",$D$101/$F$98*F94)</f>
        <v>-</v>
      </c>
      <c r="I94" s="144"/>
    </row>
    <row r="95" spans="1:12" ht="27" customHeight="1" x14ac:dyDescent="0.45">
      <c r="A95" s="124" t="s">
        <v>69</v>
      </c>
      <c r="B95" s="125">
        <v>1</v>
      </c>
      <c r="C95" s="214" t="s">
        <v>70</v>
      </c>
      <c r="D95" s="215">
        <f>AVERAGE(D91:D94)</f>
        <v>18824909</v>
      </c>
      <c r="E95" s="147">
        <f>AVERAGE(E91:E94)</f>
        <v>21993521.887692314</v>
      </c>
      <c r="F95" s="216">
        <f>AVERAGE(F91:F94)</f>
        <v>19576732</v>
      </c>
      <c r="G95" s="217">
        <f>AVERAGE(G91:G94)</f>
        <v>21488283.627370182</v>
      </c>
    </row>
    <row r="96" spans="1:12" ht="26.25" customHeight="1" x14ac:dyDescent="0.45">
      <c r="A96" s="124" t="s">
        <v>71</v>
      </c>
      <c r="B96" s="110">
        <v>1</v>
      </c>
      <c r="C96" s="218" t="s">
        <v>112</v>
      </c>
      <c r="D96" s="219">
        <v>15.22</v>
      </c>
      <c r="E96" s="139"/>
      <c r="F96" s="479">
        <v>16.2</v>
      </c>
    </row>
    <row r="97" spans="1:10" ht="26.25" customHeight="1" x14ac:dyDescent="0.45">
      <c r="A97" s="124" t="s">
        <v>73</v>
      </c>
      <c r="B97" s="110">
        <v>1</v>
      </c>
      <c r="C97" s="220" t="s">
        <v>113</v>
      </c>
      <c r="D97" s="221">
        <f>D96*$B$87</f>
        <v>12.268227820545803</v>
      </c>
      <c r="E97" s="153"/>
      <c r="F97" s="152">
        <f>F96*$B$87</f>
        <v>13.058166274168331</v>
      </c>
    </row>
    <row r="98" spans="1:10" ht="19.5" customHeight="1" x14ac:dyDescent="0.35">
      <c r="A98" s="124" t="s">
        <v>75</v>
      </c>
      <c r="B98" s="222">
        <f>(B97/B96)*(B95/B94)*(B93/B92)*(B91/B90)*B89</f>
        <v>500</v>
      </c>
      <c r="C98" s="220" t="s">
        <v>114</v>
      </c>
      <c r="D98" s="223">
        <f>D97*$B$83/100</f>
        <v>11.887912758108884</v>
      </c>
      <c r="E98" s="156"/>
      <c r="F98" s="155">
        <f>F97*$B$83/100</f>
        <v>12.653363119669114</v>
      </c>
    </row>
    <row r="99" spans="1:10" ht="19.5" customHeight="1" x14ac:dyDescent="0.35">
      <c r="A99" s="509" t="s">
        <v>77</v>
      </c>
      <c r="B99" s="524"/>
      <c r="C99" s="220" t="s">
        <v>115</v>
      </c>
      <c r="D99" s="224">
        <f>D98/$B$98</f>
        <v>2.3775825516217767E-2</v>
      </c>
      <c r="E99" s="156"/>
      <c r="F99" s="159">
        <f>F98/$B$98</f>
        <v>2.5306726239338228E-2</v>
      </c>
      <c r="G99" s="225"/>
      <c r="H99" s="148"/>
    </row>
    <row r="100" spans="1:10" ht="19.5" customHeight="1" x14ac:dyDescent="0.35">
      <c r="A100" s="511"/>
      <c r="B100" s="525"/>
      <c r="C100" s="220" t="s">
        <v>79</v>
      </c>
      <c r="D100" s="226">
        <f>$B$56/$B$116</f>
        <v>2.7777777777777776E-2</v>
      </c>
      <c r="F100" s="164"/>
      <c r="G100" s="227"/>
      <c r="H100" s="148"/>
    </row>
    <row r="101" spans="1:10" ht="18" x14ac:dyDescent="0.35">
      <c r="C101" s="220" t="s">
        <v>80</v>
      </c>
      <c r="D101" s="221">
        <f>D100*$B$98</f>
        <v>13.888888888888888</v>
      </c>
      <c r="F101" s="164"/>
      <c r="G101" s="225"/>
      <c r="H101" s="148"/>
    </row>
    <row r="102" spans="1:10" ht="19.5" customHeight="1" x14ac:dyDescent="0.35">
      <c r="C102" s="228" t="s">
        <v>81</v>
      </c>
      <c r="D102" s="229">
        <f>D101/B34</f>
        <v>17.230086752617282</v>
      </c>
      <c r="F102" s="168"/>
      <c r="G102" s="225"/>
      <c r="H102" s="148"/>
      <c r="J102" s="230"/>
    </row>
    <row r="103" spans="1:10" ht="18" x14ac:dyDescent="0.35">
      <c r="C103" s="231" t="s">
        <v>116</v>
      </c>
      <c r="D103" s="232">
        <f>AVERAGE(E91:E94,G91:G94)</f>
        <v>21740902.757531244</v>
      </c>
      <c r="F103" s="168"/>
      <c r="G103" s="233"/>
      <c r="H103" s="148"/>
      <c r="J103" s="234"/>
    </row>
    <row r="104" spans="1:10" ht="18" x14ac:dyDescent="0.35">
      <c r="C104" s="198" t="s">
        <v>83</v>
      </c>
      <c r="D104" s="235">
        <f>STDEV(E91:E94,G91:G94)/D103</f>
        <v>1.7593414062283555E-2</v>
      </c>
      <c r="F104" s="168"/>
      <c r="G104" s="225"/>
      <c r="H104" s="148"/>
      <c r="J104" s="234"/>
    </row>
    <row r="105" spans="1:10" ht="19.5" customHeight="1" x14ac:dyDescent="0.35">
      <c r="C105" s="200" t="s">
        <v>19</v>
      </c>
      <c r="D105" s="236">
        <f>COUNT(E91:E94,G91:G94)</f>
        <v>6</v>
      </c>
      <c r="F105" s="168"/>
      <c r="G105" s="225"/>
      <c r="H105" s="148"/>
      <c r="J105" s="234"/>
    </row>
    <row r="106" spans="1:10" ht="19.5" customHeight="1" x14ac:dyDescent="0.35">
      <c r="A106" s="172"/>
      <c r="B106" s="172"/>
      <c r="C106" s="172"/>
      <c r="D106" s="172"/>
      <c r="E106" s="172"/>
    </row>
    <row r="107" spans="1:10" ht="26.25" customHeight="1" x14ac:dyDescent="0.45">
      <c r="A107" s="122" t="s">
        <v>117</v>
      </c>
      <c r="B107" s="123">
        <v>900</v>
      </c>
      <c r="C107" s="237" t="s">
        <v>131</v>
      </c>
      <c r="D107" s="238" t="s">
        <v>62</v>
      </c>
      <c r="E107" s="239" t="s">
        <v>118</v>
      </c>
      <c r="F107" s="240" t="s">
        <v>119</v>
      </c>
    </row>
    <row r="108" spans="1:10" ht="26.25" customHeight="1" x14ac:dyDescent="0.45">
      <c r="A108" s="124" t="s">
        <v>120</v>
      </c>
      <c r="B108" s="125">
        <v>10</v>
      </c>
      <c r="C108" s="241">
        <v>1</v>
      </c>
      <c r="D108" s="242">
        <v>22011655</v>
      </c>
      <c r="E108" s="457">
        <f t="shared" ref="E108:E113" si="1">IF(ISBLANK(D108),"-",D108/$D$103*$D$100*$B$116)</f>
        <v>50.622679392590918</v>
      </c>
      <c r="F108" s="243">
        <f t="shared" ref="F108:F113" si="2">IF(ISBLANK(D108), "-", E108/$B$56)</f>
        <v>1.0124535878518184</v>
      </c>
    </row>
    <row r="109" spans="1:10" ht="26.25" customHeight="1" x14ac:dyDescent="0.45">
      <c r="A109" s="124" t="s">
        <v>94</v>
      </c>
      <c r="B109" s="125">
        <v>20</v>
      </c>
      <c r="C109" s="241">
        <v>2</v>
      </c>
      <c r="D109" s="242">
        <v>21878719</v>
      </c>
      <c r="E109" s="458">
        <f t="shared" si="1"/>
        <v>50.316951517620431</v>
      </c>
      <c r="F109" s="244">
        <f t="shared" si="2"/>
        <v>1.0063390303524087</v>
      </c>
    </row>
    <row r="110" spans="1:10" ht="26.25" customHeight="1" x14ac:dyDescent="0.45">
      <c r="A110" s="124" t="s">
        <v>95</v>
      </c>
      <c r="B110" s="125">
        <v>1</v>
      </c>
      <c r="C110" s="241">
        <v>3</v>
      </c>
      <c r="D110" s="242">
        <v>22317882</v>
      </c>
      <c r="E110" s="458">
        <f t="shared" si="1"/>
        <v>51.326944076112206</v>
      </c>
      <c r="F110" s="244">
        <f t="shared" si="2"/>
        <v>1.026538881522244</v>
      </c>
    </row>
    <row r="111" spans="1:10" ht="26.25" customHeight="1" x14ac:dyDescent="0.45">
      <c r="A111" s="124" t="s">
        <v>96</v>
      </c>
      <c r="B111" s="125">
        <v>1</v>
      </c>
      <c r="C111" s="241">
        <v>4</v>
      </c>
      <c r="D111" s="242">
        <v>22510127</v>
      </c>
      <c r="E111" s="458">
        <f t="shared" si="1"/>
        <v>51.769071530855101</v>
      </c>
      <c r="F111" s="244">
        <f t="shared" si="2"/>
        <v>1.0353814306171021</v>
      </c>
    </row>
    <row r="112" spans="1:10" ht="26.25" customHeight="1" x14ac:dyDescent="0.45">
      <c r="A112" s="124" t="s">
        <v>97</v>
      </c>
      <c r="B112" s="125">
        <v>1</v>
      </c>
      <c r="C112" s="241">
        <v>5</v>
      </c>
      <c r="D112" s="242">
        <v>22005473</v>
      </c>
      <c r="E112" s="458">
        <f t="shared" si="1"/>
        <v>50.608461951694039</v>
      </c>
      <c r="F112" s="244">
        <f t="shared" si="2"/>
        <v>1.0121692390338808</v>
      </c>
    </row>
    <row r="113" spans="1:10" ht="26.25" customHeight="1" x14ac:dyDescent="0.45">
      <c r="A113" s="124" t="s">
        <v>99</v>
      </c>
      <c r="B113" s="125">
        <v>1</v>
      </c>
      <c r="C113" s="245">
        <v>6</v>
      </c>
      <c r="D113" s="246">
        <v>22462635</v>
      </c>
      <c r="E113" s="459">
        <f t="shared" si="1"/>
        <v>51.659848835437025</v>
      </c>
      <c r="F113" s="247">
        <f t="shared" si="2"/>
        <v>1.0331969767087406</v>
      </c>
    </row>
    <row r="114" spans="1:10" ht="26.25" customHeight="1" x14ac:dyDescent="0.45">
      <c r="A114" s="124" t="s">
        <v>100</v>
      </c>
      <c r="B114" s="125">
        <v>1</v>
      </c>
      <c r="C114" s="241"/>
      <c r="D114" s="195"/>
      <c r="E114" s="98"/>
      <c r="F114" s="248"/>
    </row>
    <row r="115" spans="1:10" ht="26.25" customHeight="1" x14ac:dyDescent="0.45">
      <c r="A115" s="124" t="s">
        <v>101</v>
      </c>
      <c r="B115" s="125">
        <v>1</v>
      </c>
      <c r="C115" s="241"/>
      <c r="D115" s="249" t="s">
        <v>70</v>
      </c>
      <c r="E115" s="269">
        <f>AVERAGE(E108:E113)</f>
        <v>51.050659550718279</v>
      </c>
      <c r="F115" s="250">
        <f>AVERAGE(F108:F113)</f>
        <v>1.0210131910143658</v>
      </c>
    </row>
    <row r="116" spans="1:10" ht="27" customHeight="1" x14ac:dyDescent="0.45">
      <c r="A116" s="124" t="s">
        <v>102</v>
      </c>
      <c r="B116" s="154">
        <f>(B115/B114)*(B113/B112)*(B111/B110)*(B109/B108)*B107</f>
        <v>1800</v>
      </c>
      <c r="C116" s="251"/>
      <c r="D116" s="214" t="s">
        <v>83</v>
      </c>
      <c r="E116" s="252">
        <f>STDEV(E108:E113)/E115</f>
        <v>1.2013267004845387E-2</v>
      </c>
      <c r="F116" s="252">
        <f>STDEV(F108:F113)/F115</f>
        <v>1.2013267004845393E-2</v>
      </c>
      <c r="I116" s="98"/>
    </row>
    <row r="117" spans="1:10" ht="27" customHeight="1" x14ac:dyDescent="0.45">
      <c r="A117" s="509" t="s">
        <v>77</v>
      </c>
      <c r="B117" s="510"/>
      <c r="C117" s="253"/>
      <c r="D117" s="254" t="s">
        <v>19</v>
      </c>
      <c r="E117" s="255">
        <f>COUNT(E108:E113)</f>
        <v>6</v>
      </c>
      <c r="F117" s="255">
        <f>COUNT(F108:F113)</f>
        <v>6</v>
      </c>
      <c r="I117" s="98"/>
      <c r="J117" s="234"/>
    </row>
    <row r="118" spans="1:10" ht="19.5" customHeight="1" x14ac:dyDescent="0.35">
      <c r="A118" s="511"/>
      <c r="B118" s="512"/>
      <c r="C118" s="98"/>
      <c r="D118" s="98"/>
      <c r="E118" s="98"/>
      <c r="F118" s="195"/>
      <c r="G118" s="98"/>
      <c r="H118" s="98"/>
      <c r="I118" s="98"/>
    </row>
    <row r="119" spans="1:10" ht="18" x14ac:dyDescent="0.35">
      <c r="A119" s="264"/>
      <c r="B119" s="120"/>
      <c r="C119" s="98"/>
      <c r="D119" s="98"/>
      <c r="E119" s="98"/>
      <c r="F119" s="195"/>
      <c r="G119" s="98"/>
      <c r="H119" s="98"/>
      <c r="I119" s="98"/>
    </row>
    <row r="120" spans="1:10" ht="26.25" customHeight="1" x14ac:dyDescent="0.45">
      <c r="A120" s="108" t="s">
        <v>105</v>
      </c>
      <c r="B120" s="202" t="s">
        <v>121</v>
      </c>
      <c r="C120" s="521" t="str">
        <f>B20</f>
        <v>Sitagliptin (as Phosphate)</v>
      </c>
      <c r="D120" s="521"/>
      <c r="E120" s="203" t="s">
        <v>122</v>
      </c>
      <c r="F120" s="203"/>
      <c r="G120" s="204">
        <f>F115</f>
        <v>1.0210131910143658</v>
      </c>
      <c r="H120" s="98"/>
      <c r="I120" s="98"/>
    </row>
    <row r="121" spans="1:10" ht="19.5" customHeight="1" x14ac:dyDescent="0.35">
      <c r="A121" s="256"/>
      <c r="B121" s="256"/>
      <c r="C121" s="257"/>
      <c r="D121" s="257"/>
      <c r="E121" s="257"/>
      <c r="F121" s="257"/>
      <c r="G121" s="257"/>
      <c r="H121" s="257"/>
    </row>
    <row r="122" spans="1:10" ht="18" x14ac:dyDescent="0.35">
      <c r="B122" s="522" t="s">
        <v>25</v>
      </c>
      <c r="C122" s="522"/>
      <c r="E122" s="209" t="s">
        <v>26</v>
      </c>
      <c r="F122" s="258"/>
      <c r="G122" s="522" t="s">
        <v>27</v>
      </c>
      <c r="H122" s="522"/>
    </row>
    <row r="123" spans="1:10" ht="69.900000000000006" customHeight="1" x14ac:dyDescent="0.35">
      <c r="A123" s="259" t="s">
        <v>28</v>
      </c>
      <c r="B123" s="260"/>
      <c r="C123" s="260"/>
      <c r="E123" s="260"/>
      <c r="F123" s="98"/>
      <c r="G123" s="261"/>
      <c r="H123" s="261"/>
    </row>
    <row r="124" spans="1:10" ht="69.900000000000006" customHeight="1" x14ac:dyDescent="0.35">
      <c r="A124" s="259" t="s">
        <v>29</v>
      </c>
      <c r="B124" s="262"/>
      <c r="C124" s="262"/>
      <c r="E124" s="262"/>
      <c r="F124" s="98"/>
      <c r="G124" s="263"/>
      <c r="H124" s="263"/>
    </row>
    <row r="125" spans="1:10" ht="18" x14ac:dyDescent="0.35">
      <c r="A125" s="194"/>
      <c r="B125" s="194"/>
      <c r="C125" s="195"/>
      <c r="D125" s="195"/>
      <c r="E125" s="195"/>
      <c r="F125" s="199"/>
      <c r="G125" s="195"/>
      <c r="H125" s="195"/>
      <c r="I125" s="98"/>
    </row>
    <row r="126" spans="1:10" ht="18" x14ac:dyDescent="0.35">
      <c r="A126" s="194"/>
      <c r="B126" s="194"/>
      <c r="C126" s="195"/>
      <c r="D126" s="195"/>
      <c r="E126" s="195"/>
      <c r="F126" s="199"/>
      <c r="G126" s="195"/>
      <c r="H126" s="195"/>
      <c r="I126" s="98"/>
    </row>
    <row r="127" spans="1:10" ht="18" x14ac:dyDescent="0.35">
      <c r="A127" s="194"/>
      <c r="B127" s="194"/>
      <c r="C127" s="195"/>
      <c r="D127" s="195"/>
      <c r="E127" s="195"/>
      <c r="F127" s="199"/>
      <c r="G127" s="195"/>
      <c r="H127" s="195"/>
      <c r="I127" s="98"/>
    </row>
    <row r="128" spans="1:10" ht="18" x14ac:dyDescent="0.35">
      <c r="A128" s="194"/>
      <c r="B128" s="194"/>
      <c r="C128" s="195"/>
      <c r="D128" s="195"/>
      <c r="E128" s="195"/>
      <c r="F128" s="199"/>
      <c r="G128" s="195"/>
      <c r="H128" s="195"/>
      <c r="I128" s="98"/>
    </row>
    <row r="129" spans="1:9" ht="18" x14ac:dyDescent="0.35">
      <c r="A129" s="194"/>
      <c r="B129" s="194"/>
      <c r="C129" s="195"/>
      <c r="D129" s="195"/>
      <c r="E129" s="195"/>
      <c r="F129" s="199"/>
      <c r="G129" s="195"/>
      <c r="H129" s="195"/>
      <c r="I129" s="98"/>
    </row>
    <row r="130" spans="1:9" ht="18" x14ac:dyDescent="0.35">
      <c r="A130" s="194"/>
      <c r="B130" s="194"/>
      <c r="C130" s="195"/>
      <c r="D130" s="195"/>
      <c r="E130" s="195"/>
      <c r="F130" s="199"/>
      <c r="G130" s="195"/>
      <c r="H130" s="195"/>
      <c r="I130" s="98"/>
    </row>
    <row r="131" spans="1:9" ht="18" x14ac:dyDescent="0.35">
      <c r="A131" s="194"/>
      <c r="B131" s="194"/>
      <c r="C131" s="195"/>
      <c r="D131" s="195"/>
      <c r="E131" s="195"/>
      <c r="F131" s="199"/>
      <c r="G131" s="195"/>
      <c r="H131" s="195"/>
      <c r="I131" s="98"/>
    </row>
    <row r="132" spans="1:9" ht="18" x14ac:dyDescent="0.35">
      <c r="A132" s="194"/>
      <c r="B132" s="194"/>
      <c r="C132" s="195"/>
      <c r="D132" s="195"/>
      <c r="E132" s="195"/>
      <c r="F132" s="199"/>
      <c r="G132" s="195"/>
      <c r="H132" s="195"/>
      <c r="I132" s="98"/>
    </row>
    <row r="133" spans="1:9" ht="18" x14ac:dyDescent="0.35">
      <c r="A133" s="194"/>
      <c r="B133" s="194"/>
      <c r="C133" s="195"/>
      <c r="D133" s="195"/>
      <c r="E133" s="195"/>
      <c r="F133" s="199"/>
      <c r="G133" s="195"/>
      <c r="H133" s="195"/>
      <c r="I133" s="98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rintOptions horizont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zoomScale="70" zoomScaleNormal="70" zoomScalePageLayoutView="51" workbookViewId="0">
      <selection activeCell="B18" sqref="B18:C18"/>
    </sheetView>
  </sheetViews>
  <sheetFormatPr defaultColWidth="9.109375" defaultRowHeight="13.8" x14ac:dyDescent="0.3"/>
  <cols>
    <col min="1" max="1" width="55.44140625" style="2" customWidth="1"/>
    <col min="2" max="2" width="33.6640625" style="2" customWidth="1"/>
    <col min="3" max="3" width="42.33203125" style="2" customWidth="1"/>
    <col min="4" max="4" width="30.5546875" style="2" customWidth="1"/>
    <col min="5" max="5" width="39.88671875" style="2" customWidth="1"/>
    <col min="6" max="6" width="30.6640625" style="2" customWidth="1"/>
    <col min="7" max="7" width="39.88671875" style="2" customWidth="1"/>
    <col min="8" max="8" width="30" style="2" customWidth="1"/>
    <col min="9" max="9" width="30.33203125" style="2" hidden="1" customWidth="1"/>
    <col min="10" max="10" width="30.44140625" style="2" customWidth="1"/>
    <col min="11" max="11" width="21.33203125" style="2" customWidth="1"/>
    <col min="12" max="12" width="9.109375" style="2"/>
  </cols>
  <sheetData>
    <row r="1" spans="1:9" ht="18.75" customHeight="1" x14ac:dyDescent="0.3">
      <c r="A1" s="519" t="s">
        <v>44</v>
      </c>
      <c r="B1" s="519"/>
      <c r="C1" s="519"/>
      <c r="D1" s="519"/>
      <c r="E1" s="519"/>
      <c r="F1" s="519"/>
      <c r="G1" s="519"/>
      <c r="H1" s="519"/>
      <c r="I1" s="519"/>
    </row>
    <row r="2" spans="1:9" ht="18.75" customHeight="1" x14ac:dyDescent="0.3">
      <c r="A2" s="519"/>
      <c r="B2" s="519"/>
      <c r="C2" s="519"/>
      <c r="D2" s="519"/>
      <c r="E2" s="519"/>
      <c r="F2" s="519"/>
      <c r="G2" s="519"/>
      <c r="H2" s="519"/>
      <c r="I2" s="519"/>
    </row>
    <row r="3" spans="1:9" ht="18.75" customHeight="1" x14ac:dyDescent="0.3">
      <c r="A3" s="519"/>
      <c r="B3" s="519"/>
      <c r="C3" s="519"/>
      <c r="D3" s="519"/>
      <c r="E3" s="519"/>
      <c r="F3" s="519"/>
      <c r="G3" s="519"/>
      <c r="H3" s="519"/>
      <c r="I3" s="519"/>
    </row>
    <row r="4" spans="1:9" ht="18.75" customHeight="1" x14ac:dyDescent="0.3">
      <c r="A4" s="519"/>
      <c r="B4" s="519"/>
      <c r="C4" s="519"/>
      <c r="D4" s="519"/>
      <c r="E4" s="519"/>
      <c r="F4" s="519"/>
      <c r="G4" s="519"/>
      <c r="H4" s="519"/>
      <c r="I4" s="519"/>
    </row>
    <row r="5" spans="1:9" ht="18.75" customHeight="1" x14ac:dyDescent="0.3">
      <c r="A5" s="519"/>
      <c r="B5" s="519"/>
      <c r="C5" s="519"/>
      <c r="D5" s="519"/>
      <c r="E5" s="519"/>
      <c r="F5" s="519"/>
      <c r="G5" s="519"/>
      <c r="H5" s="519"/>
      <c r="I5" s="519"/>
    </row>
    <row r="6" spans="1:9" ht="18.75" customHeight="1" x14ac:dyDescent="0.3">
      <c r="A6" s="519"/>
      <c r="B6" s="519"/>
      <c r="C6" s="519"/>
      <c r="D6" s="519"/>
      <c r="E6" s="519"/>
      <c r="F6" s="519"/>
      <c r="G6" s="519"/>
      <c r="H6" s="519"/>
      <c r="I6" s="519"/>
    </row>
    <row r="7" spans="1:9" ht="18.75" customHeight="1" x14ac:dyDescent="0.3">
      <c r="A7" s="519"/>
      <c r="B7" s="519"/>
      <c r="C7" s="519"/>
      <c r="D7" s="519"/>
      <c r="E7" s="519"/>
      <c r="F7" s="519"/>
      <c r="G7" s="519"/>
      <c r="H7" s="519"/>
      <c r="I7" s="519"/>
    </row>
    <row r="8" spans="1:9" x14ac:dyDescent="0.3">
      <c r="A8" s="520" t="s">
        <v>45</v>
      </c>
      <c r="B8" s="520"/>
      <c r="C8" s="520"/>
      <c r="D8" s="520"/>
      <c r="E8" s="520"/>
      <c r="F8" s="520"/>
      <c r="G8" s="520"/>
      <c r="H8" s="520"/>
      <c r="I8" s="520"/>
    </row>
    <row r="9" spans="1:9" x14ac:dyDescent="0.3">
      <c r="A9" s="520"/>
      <c r="B9" s="520"/>
      <c r="C9" s="520"/>
      <c r="D9" s="520"/>
      <c r="E9" s="520"/>
      <c r="F9" s="520"/>
      <c r="G9" s="520"/>
      <c r="H9" s="520"/>
      <c r="I9" s="520"/>
    </row>
    <row r="10" spans="1:9" x14ac:dyDescent="0.3">
      <c r="A10" s="520"/>
      <c r="B10" s="520"/>
      <c r="C10" s="520"/>
      <c r="D10" s="520"/>
      <c r="E10" s="520"/>
      <c r="F10" s="520"/>
      <c r="G10" s="520"/>
      <c r="H10" s="520"/>
      <c r="I10" s="520"/>
    </row>
    <row r="11" spans="1:9" x14ac:dyDescent="0.3">
      <c r="A11" s="520"/>
      <c r="B11" s="520"/>
      <c r="C11" s="520"/>
      <c r="D11" s="520"/>
      <c r="E11" s="520"/>
      <c r="F11" s="520"/>
      <c r="G11" s="520"/>
      <c r="H11" s="520"/>
      <c r="I11" s="520"/>
    </row>
    <row r="12" spans="1:9" x14ac:dyDescent="0.3">
      <c r="A12" s="520"/>
      <c r="B12" s="520"/>
      <c r="C12" s="520"/>
      <c r="D12" s="520"/>
      <c r="E12" s="520"/>
      <c r="F12" s="520"/>
      <c r="G12" s="520"/>
      <c r="H12" s="520"/>
      <c r="I12" s="520"/>
    </row>
    <row r="13" spans="1:9" x14ac:dyDescent="0.3">
      <c r="A13" s="520"/>
      <c r="B13" s="520"/>
      <c r="C13" s="520"/>
      <c r="D13" s="520"/>
      <c r="E13" s="520"/>
      <c r="F13" s="520"/>
      <c r="G13" s="520"/>
      <c r="H13" s="520"/>
      <c r="I13" s="520"/>
    </row>
    <row r="14" spans="1:9" x14ac:dyDescent="0.3">
      <c r="A14" s="520"/>
      <c r="B14" s="520"/>
      <c r="C14" s="520"/>
      <c r="D14" s="520"/>
      <c r="E14" s="520"/>
      <c r="F14" s="520"/>
      <c r="G14" s="520"/>
      <c r="H14" s="520"/>
      <c r="I14" s="520"/>
    </row>
    <row r="15" spans="1:9" ht="19.5" customHeight="1" x14ac:dyDescent="0.35">
      <c r="A15" s="271"/>
    </row>
    <row r="16" spans="1:9" ht="19.5" customHeight="1" x14ac:dyDescent="0.35">
      <c r="A16" s="491" t="s">
        <v>30</v>
      </c>
      <c r="B16" s="492"/>
      <c r="C16" s="492"/>
      <c r="D16" s="492"/>
      <c r="E16" s="492"/>
      <c r="F16" s="492"/>
      <c r="G16" s="492"/>
      <c r="H16" s="493"/>
    </row>
    <row r="17" spans="1:14" ht="20.25" customHeight="1" x14ac:dyDescent="0.3">
      <c r="A17" s="494" t="s">
        <v>46</v>
      </c>
      <c r="B17" s="494"/>
      <c r="C17" s="494"/>
      <c r="D17" s="494"/>
      <c r="E17" s="494"/>
      <c r="F17" s="494"/>
      <c r="G17" s="494"/>
      <c r="H17" s="494"/>
    </row>
    <row r="18" spans="1:14" ht="26.25" customHeight="1" x14ac:dyDescent="0.5">
      <c r="A18" s="273" t="s">
        <v>32</v>
      </c>
      <c r="B18" s="490" t="s">
        <v>133</v>
      </c>
      <c r="C18" s="490"/>
      <c r="D18" s="438"/>
      <c r="E18" s="274"/>
      <c r="F18" s="275"/>
      <c r="G18" s="275"/>
      <c r="H18" s="275"/>
    </row>
    <row r="19" spans="1:14" ht="26.25" customHeight="1" x14ac:dyDescent="0.5">
      <c r="A19" s="273" t="s">
        <v>33</v>
      </c>
      <c r="B19" s="276" t="s">
        <v>6</v>
      </c>
      <c r="C19" s="448">
        <v>29</v>
      </c>
      <c r="D19" s="275"/>
      <c r="E19" s="275"/>
      <c r="F19" s="275"/>
      <c r="G19" s="275"/>
      <c r="H19" s="275"/>
    </row>
    <row r="20" spans="1:14" ht="26.25" customHeight="1" x14ac:dyDescent="0.5">
      <c r="A20" s="273" t="s">
        <v>34</v>
      </c>
      <c r="B20" s="495" t="s">
        <v>123</v>
      </c>
      <c r="C20" s="495"/>
      <c r="D20" s="275"/>
      <c r="E20" s="275"/>
      <c r="F20" s="275"/>
      <c r="G20" s="275"/>
      <c r="H20" s="275"/>
    </row>
    <row r="21" spans="1:14" ht="26.25" customHeight="1" x14ac:dyDescent="0.5">
      <c r="A21" s="273" t="s">
        <v>35</v>
      </c>
      <c r="B21" s="495" t="s">
        <v>129</v>
      </c>
      <c r="C21" s="495"/>
      <c r="D21" s="495"/>
      <c r="E21" s="495"/>
      <c r="F21" s="495"/>
      <c r="G21" s="495"/>
      <c r="H21" s="495"/>
      <c r="I21" s="277"/>
    </row>
    <row r="22" spans="1:14" ht="26.25" customHeight="1" x14ac:dyDescent="0.5">
      <c r="A22" s="273" t="s">
        <v>36</v>
      </c>
      <c r="B22" s="278">
        <v>42618.395694444444</v>
      </c>
      <c r="C22" s="275"/>
      <c r="D22" s="275"/>
      <c r="E22" s="275"/>
      <c r="F22" s="275"/>
      <c r="G22" s="275"/>
      <c r="H22" s="275"/>
    </row>
    <row r="23" spans="1:14" ht="26.25" customHeight="1" x14ac:dyDescent="0.5">
      <c r="A23" s="273" t="s">
        <v>37</v>
      </c>
      <c r="B23" s="449">
        <v>42619.39570601852</v>
      </c>
      <c r="C23" s="275"/>
      <c r="D23" s="275"/>
      <c r="E23" s="275"/>
      <c r="F23" s="275"/>
      <c r="G23" s="275"/>
      <c r="H23" s="275"/>
    </row>
    <row r="24" spans="1:14" ht="18" x14ac:dyDescent="0.35">
      <c r="A24" s="273"/>
      <c r="B24" s="279"/>
    </row>
    <row r="25" spans="1:14" ht="18" x14ac:dyDescent="0.35">
      <c r="A25" s="280" t="s">
        <v>1</v>
      </c>
      <c r="B25" s="279"/>
    </row>
    <row r="26" spans="1:14" ht="26.25" customHeight="1" x14ac:dyDescent="0.45">
      <c r="A26" s="281" t="s">
        <v>3</v>
      </c>
      <c r="B26" s="490" t="s">
        <v>123</v>
      </c>
      <c r="C26" s="490"/>
    </row>
    <row r="27" spans="1:14" ht="26.25" customHeight="1" x14ac:dyDescent="0.5">
      <c r="A27" s="282" t="s">
        <v>47</v>
      </c>
      <c r="B27" s="496" t="s">
        <v>124</v>
      </c>
      <c r="C27" s="496"/>
    </row>
    <row r="28" spans="1:14" ht="27" customHeight="1" x14ac:dyDescent="0.45">
      <c r="A28" s="282" t="s">
        <v>5</v>
      </c>
      <c r="B28" s="283">
        <v>99.19</v>
      </c>
    </row>
    <row r="29" spans="1:14" s="14" customFormat="1" ht="27" customHeight="1" x14ac:dyDescent="0.5">
      <c r="A29" s="282" t="s">
        <v>48</v>
      </c>
      <c r="B29" s="284">
        <v>0</v>
      </c>
      <c r="C29" s="497" t="s">
        <v>49</v>
      </c>
      <c r="D29" s="498"/>
      <c r="E29" s="498"/>
      <c r="F29" s="498"/>
      <c r="G29" s="499"/>
      <c r="I29" s="285"/>
      <c r="J29" s="285"/>
      <c r="K29" s="285"/>
      <c r="L29" s="285"/>
    </row>
    <row r="30" spans="1:14" s="14" customFormat="1" ht="19.5" customHeight="1" x14ac:dyDescent="0.35">
      <c r="A30" s="282" t="s">
        <v>50</v>
      </c>
      <c r="B30" s="286">
        <f>B28-B29</f>
        <v>99.19</v>
      </c>
      <c r="C30" s="287"/>
      <c r="D30" s="287"/>
      <c r="E30" s="287"/>
      <c r="F30" s="287"/>
      <c r="G30" s="288"/>
      <c r="I30" s="285"/>
      <c r="J30" s="285"/>
      <c r="K30" s="285"/>
      <c r="L30" s="285"/>
    </row>
    <row r="31" spans="1:14" s="14" customFormat="1" ht="27" customHeight="1" x14ac:dyDescent="0.45">
      <c r="A31" s="282" t="s">
        <v>51</v>
      </c>
      <c r="B31" s="289">
        <v>1</v>
      </c>
      <c r="C31" s="500" t="s">
        <v>52</v>
      </c>
      <c r="D31" s="501"/>
      <c r="E31" s="501"/>
      <c r="F31" s="501"/>
      <c r="G31" s="501"/>
      <c r="H31" s="502"/>
      <c r="I31" s="285"/>
      <c r="J31" s="285"/>
      <c r="K31" s="285"/>
      <c r="L31" s="285"/>
    </row>
    <row r="32" spans="1:14" s="14" customFormat="1" ht="27" customHeight="1" x14ac:dyDescent="0.45">
      <c r="A32" s="282" t="s">
        <v>53</v>
      </c>
      <c r="B32" s="289">
        <v>1</v>
      </c>
      <c r="C32" s="500" t="s">
        <v>54</v>
      </c>
      <c r="D32" s="501"/>
      <c r="E32" s="501"/>
      <c r="F32" s="501"/>
      <c r="G32" s="501"/>
      <c r="H32" s="502"/>
      <c r="I32" s="285"/>
      <c r="J32" s="285"/>
      <c r="K32" s="285"/>
      <c r="L32" s="290"/>
      <c r="M32" s="290"/>
      <c r="N32" s="291"/>
    </row>
    <row r="33" spans="1:14" s="14" customFormat="1" ht="17.25" customHeight="1" x14ac:dyDescent="0.35">
      <c r="A33" s="282"/>
      <c r="B33" s="292"/>
      <c r="C33" s="293"/>
      <c r="D33" s="293"/>
      <c r="E33" s="293"/>
      <c r="F33" s="293"/>
      <c r="G33" s="293"/>
      <c r="H33" s="293"/>
      <c r="I33" s="285"/>
      <c r="J33" s="285"/>
      <c r="K33" s="285"/>
      <c r="L33" s="290"/>
      <c r="M33" s="290"/>
      <c r="N33" s="291"/>
    </row>
    <row r="34" spans="1:14" s="14" customFormat="1" ht="18" x14ac:dyDescent="0.35">
      <c r="A34" s="282" t="s">
        <v>55</v>
      </c>
      <c r="B34" s="294">
        <f>B31/B32</f>
        <v>1</v>
      </c>
      <c r="C34" s="272" t="s">
        <v>56</v>
      </c>
      <c r="D34" s="272"/>
      <c r="E34" s="272"/>
      <c r="F34" s="272"/>
      <c r="G34" s="272"/>
      <c r="I34" s="285"/>
      <c r="J34" s="285"/>
      <c r="K34" s="285"/>
      <c r="L34" s="290"/>
      <c r="M34" s="290"/>
      <c r="N34" s="291"/>
    </row>
    <row r="35" spans="1:14" s="14" customFormat="1" ht="19.5" customHeight="1" x14ac:dyDescent="0.35">
      <c r="A35" s="282"/>
      <c r="B35" s="286"/>
      <c r="G35" s="272"/>
      <c r="I35" s="285"/>
      <c r="J35" s="285"/>
      <c r="K35" s="285"/>
      <c r="L35" s="290"/>
      <c r="M35" s="290"/>
      <c r="N35" s="291"/>
    </row>
    <row r="36" spans="1:14" s="14" customFormat="1" ht="27" customHeight="1" x14ac:dyDescent="0.45">
      <c r="A36" s="295" t="s">
        <v>57</v>
      </c>
      <c r="B36" s="296">
        <v>50</v>
      </c>
      <c r="C36" s="272"/>
      <c r="D36" s="503" t="s">
        <v>58</v>
      </c>
      <c r="E36" s="504"/>
      <c r="F36" s="503" t="s">
        <v>59</v>
      </c>
      <c r="G36" s="523"/>
      <c r="J36" s="285"/>
      <c r="K36" s="285"/>
      <c r="L36" s="290"/>
      <c r="M36" s="290"/>
      <c r="N36" s="291"/>
    </row>
    <row r="37" spans="1:14" s="14" customFormat="1" ht="27" customHeight="1" x14ac:dyDescent="0.45">
      <c r="A37" s="297" t="s">
        <v>60</v>
      </c>
      <c r="B37" s="298">
        <v>5</v>
      </c>
      <c r="C37" s="299" t="s">
        <v>61</v>
      </c>
      <c r="D37" s="300" t="s">
        <v>62</v>
      </c>
      <c r="E37" s="301" t="s">
        <v>63</v>
      </c>
      <c r="F37" s="300" t="s">
        <v>62</v>
      </c>
      <c r="G37" s="302" t="s">
        <v>63</v>
      </c>
      <c r="I37" s="303" t="s">
        <v>64</v>
      </c>
      <c r="J37" s="285"/>
      <c r="K37" s="285"/>
      <c r="L37" s="290"/>
      <c r="M37" s="290"/>
      <c r="N37" s="291"/>
    </row>
    <row r="38" spans="1:14" s="14" customFormat="1" ht="26.25" customHeight="1" x14ac:dyDescent="0.45">
      <c r="A38" s="297" t="s">
        <v>65</v>
      </c>
      <c r="B38" s="298">
        <v>10</v>
      </c>
      <c r="C38" s="304">
        <v>1</v>
      </c>
      <c r="D38" s="305">
        <v>547054355</v>
      </c>
      <c r="E38" s="306">
        <f>IF(ISBLANK(D38),"-",$D$48/$D$45*D38)</f>
        <v>469619959.65000433</v>
      </c>
      <c r="F38" s="305">
        <v>535185674</v>
      </c>
      <c r="G38" s="307">
        <f>IF(ISBLANK(F38),"-",$D$48/$F$45*F38)</f>
        <v>470324335.97776586</v>
      </c>
      <c r="I38" s="308"/>
      <c r="J38" s="285"/>
      <c r="K38" s="285"/>
      <c r="L38" s="290"/>
      <c r="M38" s="290"/>
      <c r="N38" s="291"/>
    </row>
    <row r="39" spans="1:14" s="14" customFormat="1" ht="26.25" customHeight="1" x14ac:dyDescent="0.45">
      <c r="A39" s="297" t="s">
        <v>66</v>
      </c>
      <c r="B39" s="298">
        <v>1</v>
      </c>
      <c r="C39" s="309">
        <v>2</v>
      </c>
      <c r="D39" s="310">
        <v>546917637</v>
      </c>
      <c r="E39" s="311">
        <f>IF(ISBLANK(D39),"-",$D$48/$D$45*D39)</f>
        <v>469502593.79584998</v>
      </c>
      <c r="F39" s="310">
        <v>535573926</v>
      </c>
      <c r="G39" s="312">
        <f>IF(ISBLANK(F39),"-",$D$48/$F$45*F39)</f>
        <v>470665534.13190782</v>
      </c>
      <c r="I39" s="508">
        <f>ABS((F43/D43*D42)-F42)/D42</f>
        <v>1.2916880598872265E-3</v>
      </c>
      <c r="J39" s="285"/>
      <c r="K39" s="285"/>
      <c r="L39" s="290"/>
      <c r="M39" s="290"/>
      <c r="N39" s="291"/>
    </row>
    <row r="40" spans="1:14" ht="26.25" customHeight="1" x14ac:dyDescent="0.45">
      <c r="A40" s="297" t="s">
        <v>67</v>
      </c>
      <c r="B40" s="298">
        <v>1</v>
      </c>
      <c r="C40" s="309">
        <v>3</v>
      </c>
      <c r="D40" s="310">
        <v>548022980</v>
      </c>
      <c r="E40" s="311">
        <f>IF(ISBLANK(D40),"-",$D$48/$D$45*D40)</f>
        <v>470451477.81498808</v>
      </c>
      <c r="F40" s="310">
        <v>535326461</v>
      </c>
      <c r="G40" s="312">
        <f>IF(ISBLANK(F40),"-",$D$48/$F$45*F40)</f>
        <v>470448060.42613232</v>
      </c>
      <c r="I40" s="508"/>
      <c r="L40" s="290"/>
      <c r="M40" s="290"/>
      <c r="N40" s="313"/>
    </row>
    <row r="41" spans="1:14" ht="27" customHeight="1" x14ac:dyDescent="0.45">
      <c r="A41" s="297" t="s">
        <v>68</v>
      </c>
      <c r="B41" s="298">
        <v>1</v>
      </c>
      <c r="C41" s="314">
        <v>4</v>
      </c>
      <c r="D41" s="315"/>
      <c r="E41" s="316" t="str">
        <f>IF(ISBLANK(D41),"-",$D$48/$D$45*D41)</f>
        <v>-</v>
      </c>
      <c r="F41" s="315"/>
      <c r="G41" s="317" t="str">
        <f>IF(ISBLANK(F41),"-",$D$48/$F$45*F41)</f>
        <v>-</v>
      </c>
      <c r="I41" s="318"/>
      <c r="L41" s="290"/>
      <c r="M41" s="290"/>
      <c r="N41" s="313"/>
    </row>
    <row r="42" spans="1:14" ht="27" customHeight="1" x14ac:dyDescent="0.45">
      <c r="A42" s="297" t="s">
        <v>69</v>
      </c>
      <c r="B42" s="298">
        <v>1</v>
      </c>
      <c r="C42" s="319" t="s">
        <v>70</v>
      </c>
      <c r="D42" s="320">
        <f>AVERAGE(D38:D41)</f>
        <v>547331657.33333337</v>
      </c>
      <c r="E42" s="321">
        <f>AVERAGE(E38:E41)</f>
        <v>469858010.42028075</v>
      </c>
      <c r="F42" s="320">
        <f>AVERAGE(F38:F41)</f>
        <v>535362020.33333331</v>
      </c>
      <c r="G42" s="322">
        <f>AVERAGE(G38:G41)</f>
        <v>470479310.17860204</v>
      </c>
      <c r="H42" s="323"/>
    </row>
    <row r="43" spans="1:14" ht="26.25" customHeight="1" x14ac:dyDescent="0.45">
      <c r="A43" s="297" t="s">
        <v>71</v>
      </c>
      <c r="B43" s="298">
        <v>1</v>
      </c>
      <c r="C43" s="324" t="s">
        <v>72</v>
      </c>
      <c r="D43" s="325">
        <v>29.36</v>
      </c>
      <c r="E43" s="313"/>
      <c r="F43" s="325">
        <v>28.68</v>
      </c>
      <c r="H43" s="323"/>
    </row>
    <row r="44" spans="1:14" ht="26.25" customHeight="1" x14ac:dyDescent="0.45">
      <c r="A44" s="297" t="s">
        <v>73</v>
      </c>
      <c r="B44" s="298">
        <v>1</v>
      </c>
      <c r="C44" s="326" t="s">
        <v>74</v>
      </c>
      <c r="D44" s="327">
        <f>D43*$B$34</f>
        <v>29.36</v>
      </c>
      <c r="E44" s="328"/>
      <c r="F44" s="327">
        <f>F43*$B$34</f>
        <v>28.68</v>
      </c>
      <c r="H44" s="323"/>
    </row>
    <row r="45" spans="1:14" ht="19.5" customHeight="1" x14ac:dyDescent="0.35">
      <c r="A45" s="297" t="s">
        <v>75</v>
      </c>
      <c r="B45" s="329">
        <f>(B44/B43)*(B42/B41)*(B40/B39)*(B38/B37)*B36</f>
        <v>100</v>
      </c>
      <c r="C45" s="326" t="s">
        <v>76</v>
      </c>
      <c r="D45" s="330">
        <f>D44*$B$30/100</f>
        <v>29.122183999999997</v>
      </c>
      <c r="E45" s="331"/>
      <c r="F45" s="330">
        <f>F44*$B$30/100</f>
        <v>28.447691999999996</v>
      </c>
      <c r="H45" s="323"/>
    </row>
    <row r="46" spans="1:14" ht="19.5" customHeight="1" x14ac:dyDescent="0.35">
      <c r="A46" s="509" t="s">
        <v>77</v>
      </c>
      <c r="B46" s="510"/>
      <c r="C46" s="326" t="s">
        <v>78</v>
      </c>
      <c r="D46" s="332">
        <f>D45/$B$45</f>
        <v>0.29122183999999995</v>
      </c>
      <c r="E46" s="333"/>
      <c r="F46" s="334">
        <f>F45/$B$45</f>
        <v>0.28447691999999997</v>
      </c>
      <c r="H46" s="323"/>
    </row>
    <row r="47" spans="1:14" ht="27" customHeight="1" x14ac:dyDescent="0.45">
      <c r="A47" s="511"/>
      <c r="B47" s="512"/>
      <c r="C47" s="335" t="s">
        <v>79</v>
      </c>
      <c r="D47" s="336">
        <f>250/100*5/50</f>
        <v>0.25</v>
      </c>
      <c r="E47" s="337"/>
      <c r="F47" s="333"/>
      <c r="H47" s="323"/>
    </row>
    <row r="48" spans="1:14" ht="18" x14ac:dyDescent="0.35">
      <c r="C48" s="338" t="s">
        <v>80</v>
      </c>
      <c r="D48" s="330">
        <f>D47*$B$45</f>
        <v>25</v>
      </c>
      <c r="F48" s="339"/>
      <c r="H48" s="323"/>
    </row>
    <row r="49" spans="1:12" ht="19.5" customHeight="1" x14ac:dyDescent="0.35">
      <c r="C49" s="340" t="s">
        <v>81</v>
      </c>
      <c r="D49" s="341">
        <f>D48/B34</f>
        <v>25</v>
      </c>
      <c r="F49" s="339"/>
      <c r="H49" s="323"/>
    </row>
    <row r="50" spans="1:12" ht="18" x14ac:dyDescent="0.35">
      <c r="C50" s="295" t="s">
        <v>82</v>
      </c>
      <c r="D50" s="342">
        <f>AVERAGE(E38:E41,G38:G41)</f>
        <v>470168660.29944134</v>
      </c>
      <c r="F50" s="343"/>
      <c r="H50" s="323"/>
    </row>
    <row r="51" spans="1:12" ht="18" x14ac:dyDescent="0.35">
      <c r="C51" s="297" t="s">
        <v>83</v>
      </c>
      <c r="D51" s="344">
        <f>STDEV(E38:E41,G38:G41)/D50</f>
        <v>1.030562237620465E-3</v>
      </c>
      <c r="F51" s="343"/>
      <c r="H51" s="323"/>
    </row>
    <row r="52" spans="1:12" ht="19.5" customHeight="1" x14ac:dyDescent="0.35">
      <c r="C52" s="345" t="s">
        <v>19</v>
      </c>
      <c r="D52" s="346">
        <f>COUNT(E38:E41,G38:G41)</f>
        <v>6</v>
      </c>
      <c r="F52" s="343"/>
    </row>
    <row r="54" spans="1:12" ht="18" x14ac:dyDescent="0.35">
      <c r="A54" s="347" t="s">
        <v>1</v>
      </c>
      <c r="B54" s="348" t="s">
        <v>84</v>
      </c>
    </row>
    <row r="55" spans="1:12" ht="18" x14ac:dyDescent="0.35">
      <c r="A55" s="272" t="s">
        <v>85</v>
      </c>
      <c r="B55" s="349" t="str">
        <f>B21</f>
        <v>Eacl tablet contains: Sitagliptin phosphate INN Equivalent to 50 mg Sitagliptin and Metformin Hydrochloride 500 mg</v>
      </c>
    </row>
    <row r="56" spans="1:12" ht="26.25" customHeight="1" x14ac:dyDescent="0.45">
      <c r="A56" s="350" t="s">
        <v>86</v>
      </c>
      <c r="B56" s="351">
        <v>500</v>
      </c>
      <c r="C56" s="272" t="str">
        <f>B20</f>
        <v>Metformin Hydrochloride</v>
      </c>
      <c r="H56" s="352"/>
    </row>
    <row r="57" spans="1:12" ht="18" x14ac:dyDescent="0.35">
      <c r="A57" s="349" t="s">
        <v>87</v>
      </c>
      <c r="B57" s="439">
        <f>Uniformity!C46</f>
        <v>703.78899999999999</v>
      </c>
      <c r="H57" s="352"/>
    </row>
    <row r="58" spans="1:12" ht="19.5" customHeight="1" x14ac:dyDescent="0.35">
      <c r="H58" s="352"/>
    </row>
    <row r="59" spans="1:12" s="14" customFormat="1" ht="27" customHeight="1" x14ac:dyDescent="0.45">
      <c r="A59" s="295" t="s">
        <v>88</v>
      </c>
      <c r="B59" s="296">
        <v>100</v>
      </c>
      <c r="C59" s="272"/>
      <c r="D59" s="353" t="s">
        <v>89</v>
      </c>
      <c r="E59" s="354" t="s">
        <v>61</v>
      </c>
      <c r="F59" s="354" t="s">
        <v>62</v>
      </c>
      <c r="G59" s="354" t="s">
        <v>90</v>
      </c>
      <c r="H59" s="299" t="s">
        <v>91</v>
      </c>
      <c r="L59" s="285"/>
    </row>
    <row r="60" spans="1:12" s="14" customFormat="1" ht="26.25" customHeight="1" x14ac:dyDescent="0.45">
      <c r="A60" s="297" t="s">
        <v>92</v>
      </c>
      <c r="B60" s="298">
        <v>5</v>
      </c>
      <c r="C60" s="513" t="s">
        <v>93</v>
      </c>
      <c r="D60" s="516">
        <v>350.6</v>
      </c>
      <c r="E60" s="355">
        <v>1</v>
      </c>
      <c r="F60" s="356">
        <v>473378762</v>
      </c>
      <c r="G60" s="440">
        <f>IF(ISBLANK(F60),"-",(F60/$D$50*$D$47*$B$68)*($B$57/$D$60))</f>
        <v>505.27250219457051</v>
      </c>
      <c r="H60" s="357">
        <f t="shared" ref="H60:H71" si="0">IF(ISBLANK(F60),"-",G60/$B$56)</f>
        <v>1.0105450043891411</v>
      </c>
      <c r="L60" s="285"/>
    </row>
    <row r="61" spans="1:12" s="14" customFormat="1" ht="26.25" customHeight="1" x14ac:dyDescent="0.45">
      <c r="A61" s="297" t="s">
        <v>94</v>
      </c>
      <c r="B61" s="298">
        <v>50</v>
      </c>
      <c r="C61" s="514"/>
      <c r="D61" s="517"/>
      <c r="E61" s="358">
        <v>2</v>
      </c>
      <c r="F61" s="310">
        <v>472680699</v>
      </c>
      <c r="G61" s="441">
        <f>IF(ISBLANK(F61),"-",(F61/$D$50*$D$47*$B$68)*($B$57/$D$60))</f>
        <v>504.52740742688542</v>
      </c>
      <c r="H61" s="359">
        <f t="shared" si="0"/>
        <v>1.0090548148537708</v>
      </c>
      <c r="L61" s="285"/>
    </row>
    <row r="62" spans="1:12" s="14" customFormat="1" ht="26.25" customHeight="1" x14ac:dyDescent="0.45">
      <c r="A62" s="297" t="s">
        <v>95</v>
      </c>
      <c r="B62" s="298">
        <v>1</v>
      </c>
      <c r="C62" s="514"/>
      <c r="D62" s="517"/>
      <c r="E62" s="358">
        <v>3</v>
      </c>
      <c r="F62" s="360">
        <v>472283636</v>
      </c>
      <c r="G62" s="441">
        <f>IF(ISBLANK(F62),"-",(F62/$D$50*$D$47*$B$68)*($B$57/$D$60))</f>
        <v>504.10359243634537</v>
      </c>
      <c r="H62" s="359">
        <f t="shared" si="0"/>
        <v>1.0082071848726908</v>
      </c>
      <c r="L62" s="285"/>
    </row>
    <row r="63" spans="1:12" ht="27" customHeight="1" x14ac:dyDescent="0.45">
      <c r="A63" s="297" t="s">
        <v>96</v>
      </c>
      <c r="B63" s="298">
        <v>1</v>
      </c>
      <c r="C63" s="515"/>
      <c r="D63" s="518"/>
      <c r="E63" s="361">
        <v>4</v>
      </c>
      <c r="F63" s="362"/>
      <c r="G63" s="441" t="str">
        <f>IF(ISBLANK(F63),"-",(F63/$D$50*$D$47*$B$68)*($B$57/$D$60))</f>
        <v>-</v>
      </c>
      <c r="H63" s="359" t="str">
        <f t="shared" si="0"/>
        <v>-</v>
      </c>
    </row>
    <row r="64" spans="1:12" ht="26.25" customHeight="1" x14ac:dyDescent="0.45">
      <c r="A64" s="297" t="s">
        <v>97</v>
      </c>
      <c r="B64" s="298">
        <v>1</v>
      </c>
      <c r="C64" s="513" t="s">
        <v>98</v>
      </c>
      <c r="D64" s="516">
        <v>350.51</v>
      </c>
      <c r="E64" s="355">
        <v>1</v>
      </c>
      <c r="F64" s="356">
        <v>474977074</v>
      </c>
      <c r="G64" s="442">
        <f>IF(ISBLANK(F64),"-",(F64/$D$50*$D$47*$B$68)*($B$57/$D$64))</f>
        <v>507.10867616060494</v>
      </c>
      <c r="H64" s="363">
        <f t="shared" si="0"/>
        <v>1.0142173523212099</v>
      </c>
    </row>
    <row r="65" spans="1:8" ht="26.25" customHeight="1" x14ac:dyDescent="0.45">
      <c r="A65" s="297" t="s">
        <v>99</v>
      </c>
      <c r="B65" s="298">
        <v>1</v>
      </c>
      <c r="C65" s="514"/>
      <c r="D65" s="517"/>
      <c r="E65" s="358">
        <v>2</v>
      </c>
      <c r="F65" s="310">
        <v>473010486</v>
      </c>
      <c r="G65" s="443">
        <f>IF(ISBLANK(F65),"-",(F65/$D$50*$D$47*$B$68)*($B$57/$D$64))</f>
        <v>505.00905095378209</v>
      </c>
      <c r="H65" s="364">
        <f t="shared" si="0"/>
        <v>1.0100181019075642</v>
      </c>
    </row>
    <row r="66" spans="1:8" ht="26.25" customHeight="1" x14ac:dyDescent="0.45">
      <c r="A66" s="297" t="s">
        <v>100</v>
      </c>
      <c r="B66" s="298">
        <v>1</v>
      </c>
      <c r="C66" s="514"/>
      <c r="D66" s="517"/>
      <c r="E66" s="358">
        <v>3</v>
      </c>
      <c r="F66" s="310">
        <v>474131010</v>
      </c>
      <c r="G66" s="443">
        <f>IF(ISBLANK(F66),"-",(F66/$D$50*$D$47*$B$68)*($B$57/$D$64))</f>
        <v>506.20537699423892</v>
      </c>
      <c r="H66" s="364">
        <f t="shared" si="0"/>
        <v>1.0124107539884779</v>
      </c>
    </row>
    <row r="67" spans="1:8" ht="27" customHeight="1" x14ac:dyDescent="0.45">
      <c r="A67" s="297" t="s">
        <v>101</v>
      </c>
      <c r="B67" s="298">
        <v>1</v>
      </c>
      <c r="C67" s="515"/>
      <c r="D67" s="518"/>
      <c r="E67" s="361">
        <v>4</v>
      </c>
      <c r="F67" s="362"/>
      <c r="G67" s="444" t="str">
        <f>IF(ISBLANK(F67),"-",(F67/$D$50*$D$47*$B$68)*($B$57/$D$64))</f>
        <v>-</v>
      </c>
      <c r="H67" s="365" t="str">
        <f t="shared" si="0"/>
        <v>-</v>
      </c>
    </row>
    <row r="68" spans="1:8" ht="26.25" customHeight="1" x14ac:dyDescent="0.5">
      <c r="A68" s="297" t="s">
        <v>102</v>
      </c>
      <c r="B68" s="366">
        <f>(B67/B66)*(B65/B64)*(B63/B62)*(B61/B60)*B59</f>
        <v>1000</v>
      </c>
      <c r="C68" s="513" t="s">
        <v>103</v>
      </c>
      <c r="D68" s="516">
        <v>349.3</v>
      </c>
      <c r="E68" s="355">
        <v>1</v>
      </c>
      <c r="F68" s="356">
        <v>469553890</v>
      </c>
      <c r="G68" s="442">
        <f>IF(ISBLANK(F68),"-",(F68/$D$50*$D$47*$B$68)*($B$57/$D$68))</f>
        <v>503.05522387310117</v>
      </c>
      <c r="H68" s="359">
        <f t="shared" si="0"/>
        <v>1.0061104477462024</v>
      </c>
    </row>
    <row r="69" spans="1:8" ht="27" customHeight="1" x14ac:dyDescent="0.5">
      <c r="A69" s="345" t="s">
        <v>104</v>
      </c>
      <c r="B69" s="367">
        <f>(D47*B68)/B56*B57</f>
        <v>351.89449999999999</v>
      </c>
      <c r="C69" s="514"/>
      <c r="D69" s="517"/>
      <c r="E69" s="358">
        <v>2</v>
      </c>
      <c r="F69" s="310">
        <v>470719299</v>
      </c>
      <c r="G69" s="443">
        <f>IF(ISBLANK(F69),"-",(F69/$D$50*$D$47*$B$68)*($B$57/$D$68))</f>
        <v>504.30378148892402</v>
      </c>
      <c r="H69" s="359">
        <f t="shared" si="0"/>
        <v>1.0086075629778479</v>
      </c>
    </row>
    <row r="70" spans="1:8" ht="26.25" customHeight="1" x14ac:dyDescent="0.45">
      <c r="A70" s="527" t="s">
        <v>77</v>
      </c>
      <c r="B70" s="528"/>
      <c r="C70" s="514"/>
      <c r="D70" s="517"/>
      <c r="E70" s="358">
        <v>3</v>
      </c>
      <c r="F70" s="310">
        <v>469808216</v>
      </c>
      <c r="G70" s="443">
        <f>IF(ISBLANK(F70),"-",(F70/$D$50*$D$47*$B$68)*($B$57/$D$68))</f>
        <v>503.32769530948252</v>
      </c>
      <c r="H70" s="359">
        <f t="shared" si="0"/>
        <v>1.006655390618965</v>
      </c>
    </row>
    <row r="71" spans="1:8" ht="27" customHeight="1" x14ac:dyDescent="0.45">
      <c r="A71" s="529"/>
      <c r="B71" s="530"/>
      <c r="C71" s="526"/>
      <c r="D71" s="518"/>
      <c r="E71" s="361">
        <v>4</v>
      </c>
      <c r="F71" s="362"/>
      <c r="G71" s="444" t="str">
        <f>IF(ISBLANK(F71),"-",(F71/$D$50*$D$47*$B$68)*($B$57/$D$68))</f>
        <v>-</v>
      </c>
      <c r="H71" s="368" t="str">
        <f t="shared" si="0"/>
        <v>-</v>
      </c>
    </row>
    <row r="72" spans="1:8" ht="26.25" customHeight="1" x14ac:dyDescent="0.45">
      <c r="A72" s="369"/>
      <c r="B72" s="369"/>
      <c r="C72" s="369"/>
      <c r="D72" s="369"/>
      <c r="E72" s="369"/>
      <c r="F72" s="371" t="s">
        <v>70</v>
      </c>
      <c r="G72" s="446">
        <f>AVERAGE(G60:G71)</f>
        <v>504.76814520421499</v>
      </c>
      <c r="H72" s="372">
        <f>AVERAGE(H60:H71)</f>
        <v>1.0095362904084302</v>
      </c>
    </row>
    <row r="73" spans="1:8" ht="26.25" customHeight="1" x14ac:dyDescent="0.45">
      <c r="C73" s="369"/>
      <c r="D73" s="369"/>
      <c r="E73" s="369"/>
      <c r="F73" s="373" t="s">
        <v>83</v>
      </c>
      <c r="G73" s="445">
        <f>STDEV(G60:G71)/G72</f>
        <v>2.5811811498770549E-3</v>
      </c>
      <c r="H73" s="445">
        <f>STDEV(H60:H71)/H72</f>
        <v>2.5811811498770683E-3</v>
      </c>
    </row>
    <row r="74" spans="1:8" ht="27" customHeight="1" x14ac:dyDescent="0.45">
      <c r="A74" s="369"/>
      <c r="B74" s="369"/>
      <c r="C74" s="370"/>
      <c r="D74" s="370"/>
      <c r="E74" s="374"/>
      <c r="F74" s="375" t="s">
        <v>19</v>
      </c>
      <c r="G74" s="376">
        <f>COUNT(G60:G71)</f>
        <v>9</v>
      </c>
      <c r="H74" s="376">
        <f>COUNT(H60:H71)</f>
        <v>9</v>
      </c>
    </row>
    <row r="76" spans="1:8" ht="26.25" customHeight="1" x14ac:dyDescent="0.45">
      <c r="A76" s="281" t="s">
        <v>105</v>
      </c>
      <c r="B76" s="377" t="s">
        <v>106</v>
      </c>
      <c r="C76" s="521" t="str">
        <f>B20</f>
        <v>Metformin Hydrochloride</v>
      </c>
      <c r="D76" s="521"/>
      <c r="E76" s="378" t="s">
        <v>107</v>
      </c>
      <c r="F76" s="378"/>
      <c r="G76" s="379">
        <f>H72</f>
        <v>1.0095362904084302</v>
      </c>
      <c r="H76" s="380"/>
    </row>
    <row r="77" spans="1:8" ht="18" x14ac:dyDescent="0.35">
      <c r="A77" s="280" t="s">
        <v>108</v>
      </c>
      <c r="B77" s="280" t="s">
        <v>109</v>
      </c>
    </row>
    <row r="78" spans="1:8" ht="18" x14ac:dyDescent="0.35">
      <c r="A78" s="280"/>
      <c r="B78" s="280"/>
    </row>
    <row r="79" spans="1:8" ht="26.25" customHeight="1" x14ac:dyDescent="0.45">
      <c r="A79" s="281" t="s">
        <v>3</v>
      </c>
      <c r="B79" s="507" t="str">
        <f>B26</f>
        <v>Metformin Hydrochloride</v>
      </c>
      <c r="C79" s="507"/>
    </row>
    <row r="80" spans="1:8" ht="26.25" customHeight="1" x14ac:dyDescent="0.45">
      <c r="A80" s="282" t="s">
        <v>47</v>
      </c>
      <c r="B80" s="507" t="str">
        <f>B27</f>
        <v>M19-4</v>
      </c>
      <c r="C80" s="507"/>
    </row>
    <row r="81" spans="1:12" ht="27" customHeight="1" x14ac:dyDescent="0.45">
      <c r="A81" s="282" t="s">
        <v>5</v>
      </c>
      <c r="B81" s="381">
        <f>B28</f>
        <v>99.19</v>
      </c>
    </row>
    <row r="82" spans="1:12" s="14" customFormat="1" ht="27" customHeight="1" x14ac:dyDescent="0.5">
      <c r="A82" s="282" t="s">
        <v>48</v>
      </c>
      <c r="B82" s="284">
        <v>0</v>
      </c>
      <c r="C82" s="497" t="s">
        <v>49</v>
      </c>
      <c r="D82" s="498"/>
      <c r="E82" s="498"/>
      <c r="F82" s="498"/>
      <c r="G82" s="499"/>
      <c r="I82" s="285"/>
      <c r="J82" s="285"/>
      <c r="K82" s="285"/>
      <c r="L82" s="285"/>
    </row>
    <row r="83" spans="1:12" s="14" customFormat="1" ht="19.5" customHeight="1" x14ac:dyDescent="0.35">
      <c r="A83" s="282" t="s">
        <v>50</v>
      </c>
      <c r="B83" s="286">
        <f>B81-B82</f>
        <v>99.19</v>
      </c>
      <c r="C83" s="287"/>
      <c r="D83" s="287"/>
      <c r="E83" s="287"/>
      <c r="F83" s="287"/>
      <c r="G83" s="288"/>
      <c r="I83" s="285"/>
      <c r="J83" s="285"/>
      <c r="K83" s="285"/>
      <c r="L83" s="285"/>
    </row>
    <row r="84" spans="1:12" s="14" customFormat="1" ht="27" customHeight="1" x14ac:dyDescent="0.45">
      <c r="A84" s="282" t="s">
        <v>51</v>
      </c>
      <c r="B84" s="289">
        <v>1</v>
      </c>
      <c r="C84" s="500" t="s">
        <v>110</v>
      </c>
      <c r="D84" s="501"/>
      <c r="E84" s="501"/>
      <c r="F84" s="501"/>
      <c r="G84" s="501"/>
      <c r="H84" s="502"/>
      <c r="I84" s="285"/>
      <c r="J84" s="285"/>
      <c r="K84" s="285"/>
      <c r="L84" s="285"/>
    </row>
    <row r="85" spans="1:12" s="14" customFormat="1" ht="27" customHeight="1" x14ac:dyDescent="0.45">
      <c r="A85" s="282" t="s">
        <v>53</v>
      </c>
      <c r="B85" s="289">
        <v>1</v>
      </c>
      <c r="C85" s="500" t="s">
        <v>111</v>
      </c>
      <c r="D85" s="501"/>
      <c r="E85" s="501"/>
      <c r="F85" s="501"/>
      <c r="G85" s="501"/>
      <c r="H85" s="502"/>
      <c r="I85" s="285"/>
      <c r="J85" s="285"/>
      <c r="K85" s="285"/>
      <c r="L85" s="285"/>
    </row>
    <row r="86" spans="1:12" s="14" customFormat="1" ht="18" x14ac:dyDescent="0.35">
      <c r="A86" s="282"/>
      <c r="B86" s="292"/>
      <c r="C86" s="293"/>
      <c r="D86" s="293"/>
      <c r="E86" s="293"/>
      <c r="F86" s="293"/>
      <c r="G86" s="293"/>
      <c r="H86" s="293"/>
      <c r="I86" s="285"/>
      <c r="J86" s="285"/>
      <c r="K86" s="285"/>
      <c r="L86" s="285"/>
    </row>
    <row r="87" spans="1:12" s="14" customFormat="1" ht="18" x14ac:dyDescent="0.35">
      <c r="A87" s="282" t="s">
        <v>55</v>
      </c>
      <c r="B87" s="294">
        <f>B84/B85</f>
        <v>1</v>
      </c>
      <c r="C87" s="272" t="s">
        <v>56</v>
      </c>
      <c r="D87" s="272"/>
      <c r="E87" s="272"/>
      <c r="F87" s="272"/>
      <c r="G87" s="272"/>
      <c r="I87" s="285"/>
      <c r="J87" s="285"/>
      <c r="K87" s="285"/>
      <c r="L87" s="285"/>
    </row>
    <row r="88" spans="1:12" ht="19.5" customHeight="1" x14ac:dyDescent="0.35">
      <c r="A88" s="280"/>
      <c r="B88" s="280"/>
    </row>
    <row r="89" spans="1:12" ht="27" customHeight="1" x14ac:dyDescent="0.45">
      <c r="A89" s="295" t="s">
        <v>57</v>
      </c>
      <c r="B89" s="296">
        <v>50</v>
      </c>
      <c r="D89" s="382" t="s">
        <v>58</v>
      </c>
      <c r="E89" s="383"/>
      <c r="F89" s="503" t="s">
        <v>59</v>
      </c>
      <c r="G89" s="523"/>
    </row>
    <row r="90" spans="1:12" ht="27" customHeight="1" x14ac:dyDescent="0.45">
      <c r="A90" s="297" t="s">
        <v>60</v>
      </c>
      <c r="B90" s="298">
        <v>5</v>
      </c>
      <c r="C90" s="384" t="s">
        <v>61</v>
      </c>
      <c r="D90" s="300" t="s">
        <v>62</v>
      </c>
      <c r="E90" s="301" t="s">
        <v>63</v>
      </c>
      <c r="F90" s="300" t="s">
        <v>62</v>
      </c>
      <c r="G90" s="385" t="s">
        <v>63</v>
      </c>
      <c r="I90" s="303" t="s">
        <v>64</v>
      </c>
    </row>
    <row r="91" spans="1:12" ht="26.25" customHeight="1" x14ac:dyDescent="0.45">
      <c r="A91" s="297" t="s">
        <v>65</v>
      </c>
      <c r="B91" s="298">
        <v>10</v>
      </c>
      <c r="C91" s="386">
        <v>1</v>
      </c>
      <c r="D91" s="305">
        <v>547054355</v>
      </c>
      <c r="E91" s="306">
        <f>IF(ISBLANK(D91),"-",$D$101/$D$98*D91)</f>
        <v>521799955.16667145</v>
      </c>
      <c r="F91" s="305">
        <v>535185674</v>
      </c>
      <c r="G91" s="307">
        <f>IF(ISBLANK(F91),"-",$D$101/$F$98*F91)</f>
        <v>522582595.53085095</v>
      </c>
      <c r="I91" s="308"/>
    </row>
    <row r="92" spans="1:12" ht="26.25" customHeight="1" x14ac:dyDescent="0.45">
      <c r="A92" s="297" t="s">
        <v>66</v>
      </c>
      <c r="B92" s="298">
        <v>1</v>
      </c>
      <c r="C92" s="370">
        <v>2</v>
      </c>
      <c r="D92" s="310">
        <v>546917637</v>
      </c>
      <c r="E92" s="311">
        <f>IF(ISBLANK(D92),"-",$D$101/$D$98*D92)</f>
        <v>521669548.66205555</v>
      </c>
      <c r="F92" s="310">
        <v>535573926</v>
      </c>
      <c r="G92" s="312">
        <f>IF(ISBLANK(F92),"-",$D$101/$F$98*F92)</f>
        <v>522961704.59100872</v>
      </c>
      <c r="I92" s="508">
        <f>ABS((F96/D96*D95)-F95)/D95</f>
        <v>1.2916880598872265E-3</v>
      </c>
    </row>
    <row r="93" spans="1:12" ht="26.25" customHeight="1" x14ac:dyDescent="0.45">
      <c r="A93" s="297" t="s">
        <v>67</v>
      </c>
      <c r="B93" s="298">
        <v>1</v>
      </c>
      <c r="C93" s="370">
        <v>3</v>
      </c>
      <c r="D93" s="310">
        <v>548022980</v>
      </c>
      <c r="E93" s="311">
        <f>IF(ISBLANK(D93),"-",$D$101/$D$98*D93)</f>
        <v>522723864.23887569</v>
      </c>
      <c r="F93" s="310">
        <v>535326461</v>
      </c>
      <c r="G93" s="312">
        <f>IF(ISBLANK(F93),"-",$D$101/$F$98*F93)</f>
        <v>522720067.14014709</v>
      </c>
      <c r="I93" s="508"/>
    </row>
    <row r="94" spans="1:12" ht="27" customHeight="1" x14ac:dyDescent="0.45">
      <c r="A94" s="297" t="s">
        <v>68</v>
      </c>
      <c r="B94" s="298">
        <v>1</v>
      </c>
      <c r="C94" s="387">
        <v>4</v>
      </c>
      <c r="D94" s="315"/>
      <c r="E94" s="316" t="str">
        <f>IF(ISBLANK(D94),"-",$D$101/$D$98*D94)</f>
        <v>-</v>
      </c>
      <c r="F94" s="388"/>
      <c r="G94" s="317" t="str">
        <f>IF(ISBLANK(F94),"-",$D$101/$F$98*F94)</f>
        <v>-</v>
      </c>
      <c r="I94" s="318"/>
    </row>
    <row r="95" spans="1:12" ht="27" customHeight="1" x14ac:dyDescent="0.45">
      <c r="A95" s="297" t="s">
        <v>69</v>
      </c>
      <c r="B95" s="298">
        <v>1</v>
      </c>
      <c r="C95" s="389" t="s">
        <v>70</v>
      </c>
      <c r="D95" s="390">
        <f>AVERAGE(D91:D94)</f>
        <v>547331657.33333337</v>
      </c>
      <c r="E95" s="321">
        <f>AVERAGE(E91:E94)</f>
        <v>522064456.02253419</v>
      </c>
      <c r="F95" s="391">
        <f>AVERAGE(F91:F94)</f>
        <v>535362020.33333331</v>
      </c>
      <c r="G95" s="392">
        <f>AVERAGE(G91:G94)</f>
        <v>522754789.08733559</v>
      </c>
    </row>
    <row r="96" spans="1:12" ht="26.25" customHeight="1" x14ac:dyDescent="0.45">
      <c r="A96" s="297" t="s">
        <v>71</v>
      </c>
      <c r="B96" s="283">
        <v>1</v>
      </c>
      <c r="C96" s="393" t="s">
        <v>112</v>
      </c>
      <c r="D96" s="394">
        <v>29.36</v>
      </c>
      <c r="E96" s="313"/>
      <c r="F96" s="325">
        <v>28.68</v>
      </c>
    </row>
    <row r="97" spans="1:10" ht="26.25" customHeight="1" x14ac:dyDescent="0.45">
      <c r="A97" s="297" t="s">
        <v>73</v>
      </c>
      <c r="B97" s="283">
        <v>1</v>
      </c>
      <c r="C97" s="395" t="s">
        <v>113</v>
      </c>
      <c r="D97" s="396">
        <f>D96*$B$87</f>
        <v>29.36</v>
      </c>
      <c r="E97" s="328"/>
      <c r="F97" s="327">
        <f>F96*$B$87</f>
        <v>28.68</v>
      </c>
    </row>
    <row r="98" spans="1:10" ht="19.5" customHeight="1" x14ac:dyDescent="0.35">
      <c r="A98" s="297" t="s">
        <v>75</v>
      </c>
      <c r="B98" s="397">
        <f>(B97/B96)*(B95/B94)*(B93/B92)*(B91/B90)*B89</f>
        <v>100</v>
      </c>
      <c r="C98" s="395" t="s">
        <v>114</v>
      </c>
      <c r="D98" s="398">
        <f>D97*$B$83/100</f>
        <v>29.122183999999997</v>
      </c>
      <c r="E98" s="331"/>
      <c r="F98" s="330">
        <f>F97*$B$83/100</f>
        <v>28.447691999999996</v>
      </c>
    </row>
    <row r="99" spans="1:10" ht="19.5" customHeight="1" x14ac:dyDescent="0.35">
      <c r="A99" s="509" t="s">
        <v>77</v>
      </c>
      <c r="B99" s="524"/>
      <c r="C99" s="395" t="s">
        <v>115</v>
      </c>
      <c r="D99" s="399">
        <f>D98/$B$98</f>
        <v>0.29122183999999995</v>
      </c>
      <c r="E99" s="331"/>
      <c r="F99" s="334">
        <f>F98/$B$98</f>
        <v>0.28447691999999997</v>
      </c>
      <c r="G99" s="400"/>
      <c r="H99" s="323"/>
    </row>
    <row r="100" spans="1:10" ht="19.5" customHeight="1" x14ac:dyDescent="0.35">
      <c r="A100" s="511"/>
      <c r="B100" s="525"/>
      <c r="C100" s="395" t="s">
        <v>79</v>
      </c>
      <c r="D100" s="401">
        <f>$B$56/$B$116</f>
        <v>0.27777777777777779</v>
      </c>
      <c r="F100" s="339"/>
      <c r="G100" s="402"/>
      <c r="H100" s="323"/>
    </row>
    <row r="101" spans="1:10" ht="18" x14ac:dyDescent="0.35">
      <c r="C101" s="395" t="s">
        <v>80</v>
      </c>
      <c r="D101" s="396">
        <f>D100*$B$98</f>
        <v>27.777777777777779</v>
      </c>
      <c r="F101" s="339"/>
      <c r="G101" s="400"/>
      <c r="H101" s="323"/>
    </row>
    <row r="102" spans="1:10" ht="19.5" customHeight="1" x14ac:dyDescent="0.35">
      <c r="C102" s="403" t="s">
        <v>81</v>
      </c>
      <c r="D102" s="404">
        <f>D101/B34</f>
        <v>27.777777777777779</v>
      </c>
      <c r="F102" s="343"/>
      <c r="G102" s="400"/>
      <c r="H102" s="323"/>
      <c r="J102" s="405"/>
    </row>
    <row r="103" spans="1:10" ht="18" x14ac:dyDescent="0.35">
      <c r="C103" s="406" t="s">
        <v>116</v>
      </c>
      <c r="D103" s="407">
        <f>AVERAGE(E91:E94,G91:G94)</f>
        <v>522409622.55493492</v>
      </c>
      <c r="F103" s="343"/>
      <c r="G103" s="408"/>
      <c r="H103" s="323"/>
      <c r="J103" s="409"/>
    </row>
    <row r="104" spans="1:10" ht="18" x14ac:dyDescent="0.35">
      <c r="C104" s="373" t="s">
        <v>83</v>
      </c>
      <c r="D104" s="410">
        <f>STDEV(E91:E94,G91:G94)/D103</f>
        <v>1.0305622376205002E-3</v>
      </c>
      <c r="F104" s="343"/>
      <c r="G104" s="400"/>
      <c r="H104" s="323"/>
      <c r="J104" s="409"/>
    </row>
    <row r="105" spans="1:10" ht="19.5" customHeight="1" x14ac:dyDescent="0.35">
      <c r="C105" s="375" t="s">
        <v>19</v>
      </c>
      <c r="D105" s="411">
        <f>COUNT(E91:E94,G91:G94)</f>
        <v>6</v>
      </c>
      <c r="F105" s="343"/>
      <c r="G105" s="400"/>
      <c r="H105" s="323"/>
      <c r="J105" s="409"/>
    </row>
    <row r="106" spans="1:10" ht="19.5" customHeight="1" x14ac:dyDescent="0.35">
      <c r="A106" s="347"/>
      <c r="B106" s="347"/>
      <c r="C106" s="347"/>
      <c r="D106" s="347"/>
      <c r="E106" s="347"/>
    </row>
    <row r="107" spans="1:10" ht="26.25" customHeight="1" x14ac:dyDescent="0.45">
      <c r="A107" s="295" t="s">
        <v>117</v>
      </c>
      <c r="B107" s="296">
        <v>900</v>
      </c>
      <c r="C107" s="412" t="s">
        <v>131</v>
      </c>
      <c r="D107" s="413" t="s">
        <v>62</v>
      </c>
      <c r="E107" s="414" t="s">
        <v>118</v>
      </c>
      <c r="F107" s="415" t="s">
        <v>119</v>
      </c>
    </row>
    <row r="108" spans="1:10" ht="26.25" customHeight="1" x14ac:dyDescent="0.45">
      <c r="A108" s="297" t="s">
        <v>120</v>
      </c>
      <c r="B108" s="298">
        <v>10</v>
      </c>
      <c r="C108" s="416">
        <v>1</v>
      </c>
      <c r="D108" s="417">
        <v>526409015</v>
      </c>
      <c r="E108" s="457">
        <f t="shared" ref="E108:E113" si="1">IF(ISBLANK(D108),"-",D108/$D$103*$D$100*$B$116)</f>
        <v>503.82783190851791</v>
      </c>
      <c r="F108" s="418">
        <f>IF(ISBLANK(D108), "-", E108/$B$56)</f>
        <v>1.0076556638170358</v>
      </c>
    </row>
    <row r="109" spans="1:10" ht="26.25" customHeight="1" x14ac:dyDescent="0.45">
      <c r="A109" s="297" t="s">
        <v>94</v>
      </c>
      <c r="B109" s="298">
        <v>20</v>
      </c>
      <c r="C109" s="416">
        <v>2</v>
      </c>
      <c r="D109" s="417">
        <v>523266281</v>
      </c>
      <c r="E109" s="458">
        <f t="shared" si="1"/>
        <v>500.8199106678735</v>
      </c>
      <c r="F109" s="419">
        <f>IF(ISBLANK(D109), "-", E109/$B$56)</f>
        <v>1.0016398213357469</v>
      </c>
    </row>
    <row r="110" spans="1:10" ht="26.25" customHeight="1" x14ac:dyDescent="0.45">
      <c r="A110" s="297" t="s">
        <v>95</v>
      </c>
      <c r="B110" s="298">
        <v>1</v>
      </c>
      <c r="C110" s="416">
        <v>3</v>
      </c>
      <c r="D110" s="417">
        <v>525051080</v>
      </c>
      <c r="E110" s="458">
        <f t="shared" si="1"/>
        <v>502.52814777046666</v>
      </c>
      <c r="F110" s="419">
        <f t="shared" ref="F110:F113" si="2">IF(ISBLANK(D110), "-", E110/$B$56)</f>
        <v>1.0050562955409332</v>
      </c>
    </row>
    <row r="111" spans="1:10" ht="26.25" customHeight="1" x14ac:dyDescent="0.45">
      <c r="A111" s="297" t="s">
        <v>96</v>
      </c>
      <c r="B111" s="298">
        <v>1</v>
      </c>
      <c r="C111" s="416">
        <v>4</v>
      </c>
      <c r="D111" s="417">
        <v>522568703</v>
      </c>
      <c r="E111" s="458">
        <f t="shared" si="1"/>
        <v>500.15225642694628</v>
      </c>
      <c r="F111" s="419">
        <f t="shared" si="2"/>
        <v>1.0003045128538925</v>
      </c>
    </row>
    <row r="112" spans="1:10" ht="26.25" customHeight="1" x14ac:dyDescent="0.45">
      <c r="A112" s="297" t="s">
        <v>97</v>
      </c>
      <c r="B112" s="298">
        <v>1</v>
      </c>
      <c r="C112" s="416">
        <v>5</v>
      </c>
      <c r="D112" s="417">
        <v>525587255</v>
      </c>
      <c r="E112" s="458">
        <f t="shared" si="1"/>
        <v>503.04132265933799</v>
      </c>
      <c r="F112" s="419">
        <f t="shared" si="2"/>
        <v>1.006082645318676</v>
      </c>
    </row>
    <row r="113" spans="1:10" ht="26.25" customHeight="1" x14ac:dyDescent="0.45">
      <c r="A113" s="297" t="s">
        <v>99</v>
      </c>
      <c r="B113" s="298">
        <v>1</v>
      </c>
      <c r="C113" s="420">
        <v>6</v>
      </c>
      <c r="D113" s="421">
        <v>526251075</v>
      </c>
      <c r="E113" s="459">
        <f t="shared" si="1"/>
        <v>503.67666700536427</v>
      </c>
      <c r="F113" s="422">
        <f t="shared" si="2"/>
        <v>1.0073533340107286</v>
      </c>
    </row>
    <row r="114" spans="1:10" ht="26.25" customHeight="1" x14ac:dyDescent="0.45">
      <c r="A114" s="297" t="s">
        <v>100</v>
      </c>
      <c r="B114" s="298">
        <v>1</v>
      </c>
      <c r="C114" s="416"/>
      <c r="D114" s="370"/>
      <c r="E114" s="271"/>
      <c r="F114" s="423"/>
    </row>
    <row r="115" spans="1:10" ht="26.25" customHeight="1" x14ac:dyDescent="0.45">
      <c r="A115" s="297" t="s">
        <v>101</v>
      </c>
      <c r="B115" s="298">
        <v>1</v>
      </c>
      <c r="C115" s="416"/>
      <c r="D115" s="460" t="s">
        <v>70</v>
      </c>
      <c r="E115" s="447">
        <f>AVERAGE(E108:E113)</f>
        <v>502.34102273975117</v>
      </c>
      <c r="F115" s="424">
        <f>AVERAGE(F108:F113)</f>
        <v>1.004682045479502</v>
      </c>
    </row>
    <row r="116" spans="1:10" ht="27" customHeight="1" x14ac:dyDescent="0.45">
      <c r="A116" s="297" t="s">
        <v>102</v>
      </c>
      <c r="B116" s="329">
        <f>(B115/B114)*(B113/B112)*(B111/B110)*(B109/B108)*B107</f>
        <v>1800</v>
      </c>
      <c r="C116" s="425"/>
      <c r="D116" s="461" t="s">
        <v>83</v>
      </c>
      <c r="E116" s="426">
        <f>STDEV(E108:E113)/E115</f>
        <v>3.0353082186429107E-3</v>
      </c>
      <c r="F116" s="426">
        <f>STDEV(F108:F113)/F115</f>
        <v>3.0353082186429237E-3</v>
      </c>
      <c r="I116" s="271"/>
    </row>
    <row r="117" spans="1:10" ht="27" customHeight="1" x14ac:dyDescent="0.45">
      <c r="A117" s="509" t="s">
        <v>77</v>
      </c>
      <c r="B117" s="510"/>
      <c r="C117" s="427"/>
      <c r="D117" s="462" t="s">
        <v>19</v>
      </c>
      <c r="E117" s="428">
        <f>COUNT(E108:E113)</f>
        <v>6</v>
      </c>
      <c r="F117" s="428">
        <f>COUNT(F108:F113)</f>
        <v>6</v>
      </c>
      <c r="I117" s="271"/>
      <c r="J117" s="409"/>
    </row>
    <row r="118" spans="1:10" ht="19.5" customHeight="1" x14ac:dyDescent="0.35">
      <c r="A118" s="511"/>
      <c r="B118" s="512"/>
      <c r="C118" s="271"/>
      <c r="D118" s="271"/>
      <c r="E118" s="271"/>
      <c r="F118" s="370"/>
      <c r="G118" s="271"/>
      <c r="H118" s="271"/>
      <c r="I118" s="271"/>
    </row>
    <row r="119" spans="1:10" ht="18" x14ac:dyDescent="0.35">
      <c r="A119" s="437"/>
      <c r="B119" s="293"/>
      <c r="C119" s="271"/>
      <c r="D119" s="271"/>
      <c r="E119" s="271"/>
      <c r="F119" s="370"/>
      <c r="G119" s="271"/>
      <c r="H119" s="271"/>
      <c r="I119" s="271"/>
    </row>
    <row r="120" spans="1:10" ht="26.25" customHeight="1" x14ac:dyDescent="0.45">
      <c r="A120" s="281" t="s">
        <v>105</v>
      </c>
      <c r="B120" s="377" t="s">
        <v>121</v>
      </c>
      <c r="C120" s="521" t="str">
        <f>B20</f>
        <v>Metformin Hydrochloride</v>
      </c>
      <c r="D120" s="521"/>
      <c r="E120" s="378" t="s">
        <v>122</v>
      </c>
      <c r="F120" s="378"/>
      <c r="G120" s="379">
        <f>F115</f>
        <v>1.004682045479502</v>
      </c>
      <c r="H120" s="271"/>
      <c r="I120" s="271"/>
    </row>
    <row r="121" spans="1:10" ht="19.5" customHeight="1" x14ac:dyDescent="0.35">
      <c r="A121" s="429"/>
      <c r="B121" s="429"/>
      <c r="C121" s="430"/>
      <c r="D121" s="430"/>
      <c r="E121" s="430"/>
      <c r="F121" s="430"/>
      <c r="G121" s="430"/>
      <c r="H121" s="430"/>
    </row>
    <row r="122" spans="1:10" ht="18" x14ac:dyDescent="0.35">
      <c r="B122" s="522" t="s">
        <v>25</v>
      </c>
      <c r="C122" s="522"/>
      <c r="E122" s="384" t="s">
        <v>26</v>
      </c>
      <c r="F122" s="431"/>
      <c r="G122" s="522" t="s">
        <v>27</v>
      </c>
      <c r="H122" s="522"/>
    </row>
    <row r="123" spans="1:10" ht="69.900000000000006" customHeight="1" x14ac:dyDescent="0.35">
      <c r="A123" s="432" t="s">
        <v>28</v>
      </c>
      <c r="B123" s="433"/>
      <c r="C123" s="433"/>
      <c r="E123" s="433"/>
      <c r="F123" s="271"/>
      <c r="G123" s="434"/>
      <c r="H123" s="434"/>
    </row>
    <row r="124" spans="1:10" ht="69.900000000000006" customHeight="1" x14ac:dyDescent="0.35">
      <c r="A124" s="432" t="s">
        <v>29</v>
      </c>
      <c r="B124" s="435"/>
      <c r="C124" s="435"/>
      <c r="E124" s="435"/>
      <c r="F124" s="271"/>
      <c r="G124" s="436"/>
      <c r="H124" s="436"/>
    </row>
    <row r="125" spans="1:10" ht="18" x14ac:dyDescent="0.35">
      <c r="A125" s="369"/>
      <c r="B125" s="369"/>
      <c r="C125" s="370"/>
      <c r="D125" s="370"/>
      <c r="E125" s="370"/>
      <c r="F125" s="374"/>
      <c r="G125" s="370"/>
      <c r="H125" s="370"/>
      <c r="I125" s="271"/>
    </row>
    <row r="126" spans="1:10" ht="18" x14ac:dyDescent="0.35">
      <c r="A126" s="369"/>
      <c r="B126" s="369"/>
      <c r="C126" s="370"/>
      <c r="D126" s="370"/>
      <c r="E126" s="370"/>
      <c r="F126" s="374"/>
      <c r="G126" s="370"/>
      <c r="H126" s="370"/>
      <c r="I126" s="271"/>
    </row>
    <row r="127" spans="1:10" ht="18" x14ac:dyDescent="0.35">
      <c r="A127" s="369"/>
      <c r="B127" s="369"/>
      <c r="C127" s="370"/>
      <c r="D127" s="370"/>
      <c r="E127" s="370"/>
      <c r="F127" s="374"/>
      <c r="G127" s="370"/>
      <c r="H127" s="370"/>
      <c r="I127" s="271"/>
    </row>
    <row r="128" spans="1:10" ht="18" x14ac:dyDescent="0.35">
      <c r="A128" s="369"/>
      <c r="B128" s="369"/>
      <c r="C128" s="370"/>
      <c r="D128" s="370"/>
      <c r="E128" s="370"/>
      <c r="F128" s="374"/>
      <c r="G128" s="370"/>
      <c r="H128" s="370"/>
      <c r="I128" s="271"/>
    </row>
    <row r="129" spans="1:9" ht="18" x14ac:dyDescent="0.35">
      <c r="A129" s="369"/>
      <c r="B129" s="369"/>
      <c r="C129" s="370"/>
      <c r="D129" s="370"/>
      <c r="E129" s="370"/>
      <c r="F129" s="374"/>
      <c r="G129" s="370"/>
      <c r="H129" s="370"/>
      <c r="I129" s="271"/>
    </row>
    <row r="130" spans="1:9" ht="18" x14ac:dyDescent="0.35">
      <c r="A130" s="369"/>
      <c r="B130" s="369"/>
      <c r="C130" s="370"/>
      <c r="D130" s="370"/>
      <c r="E130" s="370"/>
      <c r="F130" s="374"/>
      <c r="G130" s="370"/>
      <c r="H130" s="370"/>
      <c r="I130" s="271"/>
    </row>
    <row r="131" spans="1:9" ht="18" x14ac:dyDescent="0.35">
      <c r="A131" s="369"/>
      <c r="B131" s="369"/>
      <c r="C131" s="370"/>
      <c r="D131" s="370"/>
      <c r="E131" s="370"/>
      <c r="F131" s="374"/>
      <c r="G131" s="370"/>
      <c r="H131" s="370"/>
      <c r="I131" s="271"/>
    </row>
    <row r="132" spans="1:9" ht="18" x14ac:dyDescent="0.35">
      <c r="A132" s="369"/>
      <c r="B132" s="369"/>
      <c r="C132" s="370"/>
      <c r="D132" s="370"/>
      <c r="E132" s="370"/>
      <c r="F132" s="374"/>
      <c r="G132" s="370"/>
      <c r="H132" s="370"/>
      <c r="I132" s="271"/>
    </row>
    <row r="133" spans="1:9" ht="18" x14ac:dyDescent="0.35">
      <c r="A133" s="369"/>
      <c r="B133" s="369"/>
      <c r="C133" s="370"/>
      <c r="D133" s="370"/>
      <c r="E133" s="370"/>
      <c r="F133" s="374"/>
      <c r="G133" s="370"/>
      <c r="H133" s="370"/>
      <c r="I133" s="271"/>
    </row>
    <row r="250" spans="1:1" x14ac:dyDescent="0.3">
      <c r="A250" s="2">
        <v>5</v>
      </c>
    </row>
  </sheetData>
  <sheetProtection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SST</vt:lpstr>
      <vt:lpstr>SST (2)</vt:lpstr>
      <vt:lpstr>Uniformity</vt:lpstr>
      <vt:lpstr>Sitagliptin</vt:lpstr>
      <vt:lpstr>Metformin Hydrochloride</vt:lpstr>
      <vt:lpstr>Sitagliptin!Print_Area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2016-11-14T11:58:29Z</cp:lastPrinted>
  <dcterms:created xsi:type="dcterms:W3CDTF">2005-07-05T10:19:27Z</dcterms:created>
  <dcterms:modified xsi:type="dcterms:W3CDTF">2016-11-14T12:21:24Z</dcterms:modified>
</cp:coreProperties>
</file>