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2"/>
  </bookViews>
  <sheets>
    <sheet name="Uniformity" sheetId="2" r:id="rId1"/>
    <sheet name="SST" sheetId="1" r:id="rId2"/>
    <sheet name="Atorvastatin" sheetId="3" r:id="rId3"/>
  </sheets>
  <definedNames>
    <definedName name="_xlnm.Print_Area" localSheetId="2">Atorvastatin!$A$1:$H$126</definedName>
    <definedName name="_xlnm.Print_Area" localSheetId="1">SST!$A$1:$G$49</definedName>
    <definedName name="_xlnm.Print_Area" localSheetId="0">Uniformity!$A$1:$F$54</definedName>
  </definedNames>
  <calcPr calcId="124519"/>
</workbook>
</file>

<file path=xl/calcChain.xml><?xml version="1.0" encoding="utf-8"?>
<calcChain xmlns="http://schemas.openxmlformats.org/spreadsheetml/2006/main">
  <c r="B28" i="1"/>
  <c r="B7"/>
  <c r="F96" i="3"/>
  <c r="D96"/>
  <c r="C120" l="1"/>
  <c r="B116"/>
  <c r="D100" s="1"/>
  <c r="B98"/>
  <c r="F97"/>
  <c r="F95"/>
  <c r="D95"/>
  <c r="B87"/>
  <c r="D97" s="1"/>
  <c r="B81"/>
  <c r="B83" s="1"/>
  <c r="B80"/>
  <c r="B79"/>
  <c r="C76"/>
  <c r="B68"/>
  <c r="B57"/>
  <c r="C56"/>
  <c r="B55"/>
  <c r="B45"/>
  <c r="D48" s="1"/>
  <c r="F42"/>
  <c r="D42"/>
  <c r="B34"/>
  <c r="B30"/>
  <c r="D50" i="2"/>
  <c r="C50"/>
  <c r="D49"/>
  <c r="C49"/>
  <c r="B49"/>
  <c r="C46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B39" i="1"/>
  <c r="E37"/>
  <c r="D37"/>
  <c r="C37"/>
  <c r="B37"/>
  <c r="B38" s="1"/>
  <c r="B18"/>
  <c r="E16"/>
  <c r="D16"/>
  <c r="C16"/>
  <c r="B16"/>
  <c r="B17" s="1"/>
  <c r="I92" i="3" l="1"/>
  <c r="D101"/>
  <c r="D102" s="1"/>
  <c r="I39"/>
  <c r="D49"/>
  <c r="F44"/>
  <c r="F45" s="1"/>
  <c r="D44"/>
  <c r="D45" s="1"/>
  <c r="D98"/>
  <c r="F98"/>
  <c r="B69"/>
  <c r="E41" l="1"/>
  <c r="D46"/>
  <c r="E39"/>
  <c r="E40"/>
  <c r="E38"/>
  <c r="E91"/>
  <c r="E93"/>
  <c r="D99"/>
  <c r="E92"/>
  <c r="E94"/>
  <c r="F99"/>
  <c r="G91"/>
  <c r="G93"/>
  <c r="G92"/>
  <c r="G94"/>
  <c r="G38"/>
  <c r="G40"/>
  <c r="F46"/>
  <c r="G39"/>
  <c r="G41"/>
  <c r="E42" l="1"/>
  <c r="D105"/>
  <c r="E95"/>
  <c r="D103"/>
  <c r="G42"/>
  <c r="G95"/>
  <c r="D52"/>
  <c r="D50"/>
  <c r="G69" l="1"/>
  <c r="H69" s="1"/>
  <c r="G71"/>
  <c r="H71" s="1"/>
  <c r="G66"/>
  <c r="H66" s="1"/>
  <c r="D51"/>
  <c r="G60"/>
  <c r="G62"/>
  <c r="H62" s="1"/>
  <c r="G64"/>
  <c r="H64" s="1"/>
  <c r="G68"/>
  <c r="H68" s="1"/>
  <c r="G65"/>
  <c r="H65" s="1"/>
  <c r="G63"/>
  <c r="H63" s="1"/>
  <c r="G61"/>
  <c r="H61" s="1"/>
  <c r="G70"/>
  <c r="H70" s="1"/>
  <c r="G67"/>
  <c r="H67" s="1"/>
  <c r="E113"/>
  <c r="F113" s="1"/>
  <c r="E111"/>
  <c r="F111" s="1"/>
  <c r="E109"/>
  <c r="F109" s="1"/>
  <c r="D104"/>
  <c r="E112"/>
  <c r="F112" s="1"/>
  <c r="E110"/>
  <c r="F110" s="1"/>
  <c r="E108"/>
  <c r="E117" l="1"/>
  <c r="E115"/>
  <c r="E116" s="1"/>
  <c r="F108"/>
  <c r="H60"/>
  <c r="H72" s="1"/>
  <c r="G74"/>
  <c r="G72"/>
  <c r="G73" s="1"/>
  <c r="H74" l="1"/>
  <c r="F117"/>
  <c r="F115"/>
  <c r="H73"/>
  <c r="G76"/>
  <c r="G120" l="1"/>
  <c r="F116"/>
</calcChain>
</file>

<file path=xl/sharedStrings.xml><?xml version="1.0" encoding="utf-8"?>
<sst xmlns="http://schemas.openxmlformats.org/spreadsheetml/2006/main" count="233" uniqueCount="130">
  <si>
    <t>HPLC System Suitability Report</t>
  </si>
  <si>
    <t>Analysis Data</t>
  </si>
  <si>
    <t>Assay</t>
  </si>
  <si>
    <t>Sample(s)</t>
  </si>
  <si>
    <t>Reference Substance:</t>
  </si>
  <si>
    <t>ASTORIL 1O TABLETS</t>
  </si>
  <si>
    <t>% age Purity:</t>
  </si>
  <si>
    <t>NDQD201510454</t>
  </si>
  <si>
    <t>Weight (mg):</t>
  </si>
  <si>
    <t>Atorvastatin calcium equivalent to Atorvastatin 20mg</t>
  </si>
  <si>
    <t>Standard Conc (mg/mL):</t>
  </si>
  <si>
    <t>Each Tablet contains:Atorvastatin calcium equivalent to Atorvastatin 10mg</t>
  </si>
  <si>
    <t>2015-10-26 12:46:36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</si>
  <si>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</si>
  <si>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</si>
  <si>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</si>
  <si>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</si>
  <si>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</si>
  <si>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</si>
  <si>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</si>
  <si>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</si>
  <si>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</si>
  <si>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</si>
  <si>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</si>
  <si>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</si>
  <si>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</si>
  <si>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</si>
  <si>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</si>
  <si>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</si>
  <si>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</si>
  <si>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</si>
  <si>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</si>
  <si>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</si>
  <si>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</si>
  <si>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</si>
  <si>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</si>
  <si>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</si>
  <si>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</si>
  <si>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</si>
  <si>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</si>
  <si>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</si>
  <si>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</si>
  <si>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</si>
  <si>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</si>
  <si>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</si>
  <si>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</si>
  <si>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</si>
  <si>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</si>
  <si>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</si>
  <si>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</si>
  <si>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</si>
  <si>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</si>
  <si>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</si>
  <si>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</si>
  <si>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</si>
  <si>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</si>
  <si>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</si>
  <si>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</si>
  <si>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</si>
  <si>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</si>
  <si>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</si>
  <si>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</si>
  <si>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</si>
  <si>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</si>
  <si>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</si>
  <si>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</si>
  <si>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</si>
  <si>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</si>
  <si>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</si>
  <si>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</si>
  <si>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</si>
  <si>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</si>
  <si>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</si>
  <si>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</si>
  <si>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</si>
  <si>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</si>
  <si>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</si>
  <si>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</si>
  <si>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</si>
  <si>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</si>
  <si>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</si>
  <si>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</si>
  <si>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</si>
  <si>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</si>
  <si>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</si>
  <si>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</si>
  <si>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</si>
  <si>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</si>
  <si>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</si>
  <si>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</si>
  <si>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</si>
  <si>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</si>
  <si>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</si>
  <si>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</si>
  <si>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</si>
  <si>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</si>
  <si>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</si>
  <si>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</si>
  <si>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</si>
  <si>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</si>
  <si>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</si>
  <si>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</si>
  <si>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</si>
  <si>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</si>
  <si>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</si>
  <si>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</si>
  <si>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</si>
  <si>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</si>
  <si>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</si>
  <si>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</si>
  <si>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</si>
  <si>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</si>
  <si>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</si>
  <si>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</si>
  <si>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</si>
  <si>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</si>
  <si>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</si>
  <si>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</si>
  <si>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</si>
  <si>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</si>
  <si>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</si>
  <si>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</si>
  <si>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</si>
  <si>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</si>
  <si>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</si>
  <si>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Atorvastatin calcium</t>
  </si>
  <si>
    <t>A17-1</t>
  </si>
  <si>
    <t>Atorvastatin</t>
  </si>
  <si>
    <t>Dr Sarah Mwangi</t>
  </si>
  <si>
    <t>25th april 2016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</si>
</sst>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u/>
      <sz val="14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2" borderId="3" xfId="0" applyFont="1" applyFill="1" applyBorder="1"/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2" borderId="6" xfId="0" applyFont="1" applyFill="1" applyBorder="1"/>
    <xf numFmtId="0" fontId="5" fillId="2" borderId="5" xfId="0" applyFont="1" applyFill="1" applyBorder="1"/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9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7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4" fillId="0" borderId="0" xfId="0" applyFont="1" applyFill="1" applyAlignment="1" applyProtection="1">
      <alignment horizontal="center"/>
      <protection locked="0"/>
    </xf>
    <xf numFmtId="0" fontId="25" fillId="2" borderId="7" xfId="0" applyFont="1" applyFill="1" applyBorder="1"/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workbookViewId="0">
      <selection activeCell="D14" sqref="D1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83" t="s">
        <v>31</v>
      </c>
      <c r="B11" s="284"/>
      <c r="C11" s="284"/>
      <c r="D11" s="284"/>
      <c r="E11" s="284"/>
      <c r="F11" s="285"/>
      <c r="G11" s="90"/>
    </row>
    <row r="12" spans="1:7" ht="16.5" customHeight="1">
      <c r="A12" s="282" t="s">
        <v>32</v>
      </c>
      <c r="B12" s="282"/>
      <c r="C12" s="282"/>
      <c r="D12" s="282"/>
      <c r="E12" s="282"/>
      <c r="F12" s="282"/>
      <c r="G12" s="89"/>
    </row>
    <row r="14" spans="1:7" ht="16.5" customHeight="1">
      <c r="A14" s="287" t="s">
        <v>33</v>
      </c>
      <c r="B14" s="287"/>
      <c r="C14" s="59" t="s">
        <v>5</v>
      </c>
    </row>
    <row r="15" spans="1:7" ht="16.5" customHeight="1">
      <c r="A15" s="287" t="s">
        <v>34</v>
      </c>
      <c r="B15" s="287"/>
      <c r="C15" s="59" t="s">
        <v>7</v>
      </c>
    </row>
    <row r="16" spans="1:7" ht="16.5" customHeight="1">
      <c r="A16" s="287" t="s">
        <v>35</v>
      </c>
      <c r="B16" s="287"/>
      <c r="C16" s="59" t="s">
        <v>9</v>
      </c>
    </row>
    <row r="17" spans="1:5" ht="16.5" customHeight="1">
      <c r="A17" s="287" t="s">
        <v>36</v>
      </c>
      <c r="B17" s="287"/>
      <c r="C17" s="59" t="s">
        <v>11</v>
      </c>
    </row>
    <row r="18" spans="1:5" ht="16.5" customHeight="1">
      <c r="A18" s="287" t="s">
        <v>37</v>
      </c>
      <c r="B18" s="287"/>
      <c r="C18" s="96" t="s">
        <v>12</v>
      </c>
    </row>
    <row r="19" spans="1:5" ht="16.5" customHeight="1">
      <c r="A19" s="287" t="s">
        <v>38</v>
      </c>
      <c r="B19" s="287"/>
      <c r="C19" s="96" t="str">
        <f>#REF!</f>
        <v>0</v>
      </c>
    </row>
    <row r="20" spans="1:5" ht="16.5" customHeight="1">
      <c r="A20" s="61"/>
      <c r="B20" s="61"/>
      <c r="C20" s="76"/>
    </row>
    <row r="21" spans="1:5" ht="16.5" customHeight="1">
      <c r="A21" s="282" t="s">
        <v>1</v>
      </c>
      <c r="B21" s="282"/>
      <c r="C21" s="58" t="s">
        <v>39</v>
      </c>
      <c r="D21" s="65"/>
    </row>
    <row r="22" spans="1:5" ht="15.75" customHeight="1">
      <c r="A22" s="286"/>
      <c r="B22" s="286"/>
      <c r="C22" s="56"/>
      <c r="D22" s="286"/>
      <c r="E22" s="286"/>
    </row>
    <row r="23" spans="1:5" ht="33.75" customHeight="1">
      <c r="C23" s="85" t="s">
        <v>40</v>
      </c>
      <c r="D23" s="84" t="s">
        <v>41</v>
      </c>
      <c r="E23" s="51"/>
    </row>
    <row r="24" spans="1:5" ht="15.75" customHeight="1">
      <c r="C24" s="94">
        <v>150.63999999999999</v>
      </c>
      <c r="D24" s="86">
        <f t="shared" ref="D24:D43" si="0">(C24-$C$46)/$C$46</f>
        <v>-3.3576473312492E-3</v>
      </c>
      <c r="E24" s="52"/>
    </row>
    <row r="25" spans="1:5" ht="15.75" customHeight="1">
      <c r="C25" s="94">
        <v>154.35</v>
      </c>
      <c r="D25" s="87">
        <f t="shared" si="0"/>
        <v>2.1187912469608002E-2</v>
      </c>
      <c r="E25" s="52"/>
    </row>
    <row r="26" spans="1:5" ht="15.75" customHeight="1">
      <c r="C26" s="94">
        <v>149.32</v>
      </c>
      <c r="D26" s="87">
        <f t="shared" si="0"/>
        <v>-1.2090838419425E-2</v>
      </c>
      <c r="E26" s="52"/>
    </row>
    <row r="27" spans="1:5" ht="15.75" customHeight="1">
      <c r="C27" s="94">
        <v>151.19999999999999</v>
      </c>
      <c r="D27" s="87">
        <f t="shared" si="0"/>
        <v>3.4734282737067999E-4</v>
      </c>
      <c r="E27" s="52"/>
    </row>
    <row r="28" spans="1:5" ht="15.75" customHeight="1">
      <c r="C28" s="94">
        <v>150.76</v>
      </c>
      <c r="D28" s="87">
        <f t="shared" si="0"/>
        <v>-2.5637208686877999E-3</v>
      </c>
      <c r="E28" s="52"/>
    </row>
    <row r="29" spans="1:5" ht="15.75" customHeight="1">
      <c r="C29" s="94">
        <v>148.94999999999999</v>
      </c>
      <c r="D29" s="87">
        <f t="shared" si="0"/>
        <v>-1.4538778345656001E-2</v>
      </c>
      <c r="E29" s="52"/>
    </row>
    <row r="30" spans="1:5" ht="15.75" customHeight="1">
      <c r="C30" s="94">
        <v>153.54</v>
      </c>
      <c r="D30" s="87">
        <f t="shared" si="0"/>
        <v>1.5828908847318E-2</v>
      </c>
      <c r="E30" s="52"/>
    </row>
    <row r="31" spans="1:5" ht="15.75" customHeight="1">
      <c r="C31" s="94">
        <v>150.25</v>
      </c>
      <c r="D31" s="87">
        <f t="shared" si="0"/>
        <v>-5.9379083345736999E-3</v>
      </c>
      <c r="E31" s="52"/>
    </row>
    <row r="32" spans="1:5" ht="15.75" customHeight="1">
      <c r="C32" s="94">
        <v>152.91999999999999</v>
      </c>
      <c r="D32" s="87">
        <f t="shared" si="0"/>
        <v>1.1726955457417001E-2</v>
      </c>
      <c r="E32" s="52"/>
    </row>
    <row r="33" spans="1:7" ht="15.75" customHeight="1">
      <c r="C33" s="94">
        <v>152.02000000000001</v>
      </c>
      <c r="D33" s="87">
        <f t="shared" si="0"/>
        <v>5.7725069882070996E-3</v>
      </c>
      <c r="E33" s="52"/>
    </row>
    <row r="34" spans="1:7" ht="15.75" customHeight="1">
      <c r="C34" s="94">
        <v>152.71</v>
      </c>
      <c r="D34" s="87">
        <f t="shared" si="0"/>
        <v>1.0337584147935E-2</v>
      </c>
      <c r="E34" s="52"/>
    </row>
    <row r="35" spans="1:7" ht="15.75" customHeight="1">
      <c r="C35" s="94">
        <v>152.80000000000001</v>
      </c>
      <c r="D35" s="87">
        <f t="shared" si="0"/>
        <v>1.0933028994856001E-2</v>
      </c>
      <c r="E35" s="52"/>
    </row>
    <row r="36" spans="1:7" ht="15.75" customHeight="1">
      <c r="C36" s="94">
        <v>149.05000000000001</v>
      </c>
      <c r="D36" s="87">
        <f t="shared" si="0"/>
        <v>-1.3877172960188E-2</v>
      </c>
      <c r="E36" s="52"/>
    </row>
    <row r="37" spans="1:7" ht="15.75" customHeight="1">
      <c r="C37" s="94">
        <v>149.16999999999999</v>
      </c>
      <c r="D37" s="87">
        <f t="shared" si="0"/>
        <v>-1.3083246497625999E-2</v>
      </c>
      <c r="E37" s="52"/>
    </row>
    <row r="38" spans="1:7" ht="15.75" customHeight="1">
      <c r="C38" s="94">
        <v>152.35</v>
      </c>
      <c r="D38" s="87">
        <f t="shared" si="0"/>
        <v>7.9558047602508002E-3</v>
      </c>
      <c r="E38" s="52"/>
    </row>
    <row r="39" spans="1:7" ht="15.75" customHeight="1">
      <c r="C39" s="94">
        <v>150.47</v>
      </c>
      <c r="D39" s="87">
        <f t="shared" si="0"/>
        <v>-4.4823764865444997E-3</v>
      </c>
      <c r="E39" s="52"/>
    </row>
    <row r="40" spans="1:7" ht="15.75" customHeight="1">
      <c r="C40" s="94">
        <v>151.88999999999999</v>
      </c>
      <c r="D40" s="87">
        <f t="shared" si="0"/>
        <v>4.9124199870987E-3</v>
      </c>
      <c r="E40" s="52"/>
    </row>
    <row r="41" spans="1:7" ht="15.75" customHeight="1">
      <c r="C41" s="94">
        <v>149.13999999999999</v>
      </c>
      <c r="D41" s="87">
        <f t="shared" si="0"/>
        <v>-1.3281728113267E-2</v>
      </c>
      <c r="E41" s="52"/>
    </row>
    <row r="42" spans="1:7" ht="15.75" customHeight="1">
      <c r="C42" s="94">
        <v>152.59</v>
      </c>
      <c r="D42" s="87">
        <f t="shared" si="0"/>
        <v>9.5436576853736993E-3</v>
      </c>
      <c r="E42" s="52"/>
    </row>
    <row r="43" spans="1:7" ht="16.5" customHeight="1">
      <c r="C43" s="95">
        <v>148.83000000000001</v>
      </c>
      <c r="D43" s="88">
        <f t="shared" si="0"/>
        <v>-1.5332704808216999E-2</v>
      </c>
      <c r="E43" s="52"/>
    </row>
    <row r="44" spans="1:7" ht="16.5" customHeight="1">
      <c r="C44" s="53"/>
      <c r="D44" s="52"/>
      <c r="E44" s="54"/>
    </row>
    <row r="45" spans="1:7" ht="16.5" customHeight="1">
      <c r="B45" s="81" t="s">
        <v>42</v>
      </c>
      <c r="C45" s="82">
        <f>SUM(C24:C44)</f>
        <v>3022.95</v>
      </c>
      <c r="D45" s="77"/>
      <c r="E45" s="53"/>
    </row>
    <row r="46" spans="1:7" ht="17.25" customHeight="1">
      <c r="B46" s="81" t="s">
        <v>43</v>
      </c>
      <c r="C46" s="83">
        <f>AVERAGE(C24:C44)</f>
        <v>151.14750000000001</v>
      </c>
      <c r="E46" s="55"/>
    </row>
    <row r="47" spans="1:7" ht="17.25" customHeight="1">
      <c r="A47" s="59"/>
      <c r="B47" s="78"/>
      <c r="D47" s="57"/>
      <c r="E47" s="55"/>
    </row>
    <row r="48" spans="1:7" ht="33.75" customHeight="1">
      <c r="B48" s="91" t="s">
        <v>43</v>
      </c>
      <c r="C48" s="84" t="s">
        <v>44</v>
      </c>
      <c r="D48" s="79"/>
      <c r="G48" s="57"/>
    </row>
    <row r="49" spans="1:6" ht="17.25" customHeight="1">
      <c r="B49" s="280">
        <f>C46</f>
        <v>151.14750000000001</v>
      </c>
      <c r="C49" s="92">
        <f>-IF(C46&lt;=80,10%,IF(C46&lt;250,7.5%,5%))</f>
        <v>-7.4999999999999997E-2</v>
      </c>
      <c r="D49" s="80">
        <f>IF(C46&lt;=80,C46*0.9,IF(C46&lt;250,C46*0.925,C46*0.95))</f>
        <v>139.81143750000001</v>
      </c>
    </row>
    <row r="50" spans="1:6" ht="17.25" customHeight="1">
      <c r="B50" s="281"/>
      <c r="C50" s="93">
        <f>IF(C46&lt;=80, 10%, IF(C46&lt;250, 7.5%, 5%))</f>
        <v>7.4999999999999997E-2</v>
      </c>
      <c r="D50" s="80">
        <f>IF(C46&lt;=80, C46*1.1, IF(C46&lt;250, C46*1.075, C46*1.05))</f>
        <v>162.48356250000001</v>
      </c>
    </row>
    <row r="51" spans="1:6" ht="16.5" customHeight="1">
      <c r="A51" s="62"/>
      <c r="B51" s="63"/>
      <c r="C51" s="59"/>
      <c r="D51" s="64"/>
      <c r="E51" s="59"/>
      <c r="F51" s="65"/>
    </row>
    <row r="52" spans="1:6" ht="16.5" customHeight="1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>
      <c r="A53" s="69" t="s">
        <v>29</v>
      </c>
      <c r="B53" s="70"/>
      <c r="C53" s="71"/>
      <c r="D53" s="70"/>
      <c r="E53" s="60"/>
      <c r="F53" s="72"/>
    </row>
    <row r="54" spans="1:6" ht="34.5" customHeight="1">
      <c r="A54" s="69" t="s">
        <v>30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F18" sqref="F18"/>
    </sheetView>
  </sheetViews>
  <sheetFormatPr defaultRowHeight="13.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</cols>
  <sheetData>
    <row r="1" spans="1:5" ht="18.75" customHeight="1">
      <c r="A1" s="288" t="s">
        <v>0</v>
      </c>
      <c r="B1" s="288"/>
      <c r="C1" s="288"/>
      <c r="D1" s="288"/>
      <c r="E1" s="288"/>
    </row>
    <row r="2" spans="1:5" ht="16.5" customHeight="1">
      <c r="A2" s="4" t="s">
        <v>1</v>
      </c>
      <c r="B2" s="5" t="s">
        <v>2</v>
      </c>
    </row>
    <row r="3" spans="1:5" ht="16.5" customHeight="1">
      <c r="A3" s="6" t="s">
        <v>3</v>
      </c>
      <c r="B3" s="7"/>
      <c r="D3" s="8"/>
      <c r="E3" s="9"/>
    </row>
    <row r="4" spans="1:5" ht="16.5" customHeight="1">
      <c r="A4" s="10" t="s">
        <v>4</v>
      </c>
      <c r="B4" s="7" t="s">
        <v>5</v>
      </c>
      <c r="C4" s="9"/>
      <c r="D4" s="9"/>
      <c r="E4" s="9"/>
    </row>
    <row r="5" spans="1:5" ht="16.5" customHeight="1">
      <c r="A5" s="10" t="s">
        <v>6</v>
      </c>
      <c r="B5" s="11">
        <v>95.1</v>
      </c>
      <c r="C5" s="9"/>
      <c r="D5" s="9"/>
      <c r="E5" s="9"/>
    </row>
    <row r="6" spans="1:5" ht="16.5" customHeight="1">
      <c r="A6" s="6" t="s">
        <v>8</v>
      </c>
      <c r="B6" s="11">
        <v>25.37</v>
      </c>
      <c r="C6" s="9"/>
      <c r="D6" s="9"/>
      <c r="E6" s="9"/>
    </row>
    <row r="7" spans="1:5" ht="16.5" customHeight="1">
      <c r="A7" s="6" t="s">
        <v>10</v>
      </c>
      <c r="B7" s="12">
        <f>B6/25*5/50</f>
        <v>0.10148000000000001</v>
      </c>
      <c r="C7" s="9"/>
      <c r="D7" s="9"/>
      <c r="E7" s="9"/>
    </row>
    <row r="8" spans="1:5" ht="15.75" customHeight="1">
      <c r="A8" s="9"/>
      <c r="B8" s="9"/>
      <c r="C8" s="9"/>
      <c r="D8" s="9"/>
      <c r="E8" s="9"/>
    </row>
    <row r="9" spans="1:5" ht="16.5" customHeight="1">
      <c r="A9" s="13" t="s">
        <v>13</v>
      </c>
      <c r="B9" s="14" t="s">
        <v>14</v>
      </c>
      <c r="C9" s="13" t="s">
        <v>15</v>
      </c>
      <c r="D9" s="13" t="s">
        <v>16</v>
      </c>
      <c r="E9" s="15" t="s">
        <v>17</v>
      </c>
    </row>
    <row r="10" spans="1:5" ht="16.5" customHeight="1">
      <c r="A10" s="16">
        <v>1</v>
      </c>
      <c r="B10" s="17">
        <v>72500050</v>
      </c>
      <c r="C10" s="17">
        <v>9221.32</v>
      </c>
      <c r="D10" s="18">
        <v>1.0900000000000001</v>
      </c>
      <c r="E10" s="19">
        <v>8.0399999999999991</v>
      </c>
    </row>
    <row r="11" spans="1:5" ht="16.5" customHeight="1">
      <c r="A11" s="16">
        <v>2</v>
      </c>
      <c r="B11" s="17">
        <v>72515681</v>
      </c>
      <c r="C11" s="17">
        <v>9249.85</v>
      </c>
      <c r="D11" s="18">
        <v>1.0900000000000001</v>
      </c>
      <c r="E11" s="18">
        <v>8.0399999999999991</v>
      </c>
    </row>
    <row r="12" spans="1:5" ht="16.5" customHeight="1">
      <c r="A12" s="16">
        <v>3</v>
      </c>
      <c r="B12" s="17">
        <v>72510739</v>
      </c>
      <c r="C12" s="17">
        <v>9254.2099999999991</v>
      </c>
      <c r="D12" s="18">
        <v>1.08</v>
      </c>
      <c r="E12" s="18">
        <v>8.0399999999999991</v>
      </c>
    </row>
    <row r="13" spans="1:5" ht="16.5" customHeight="1">
      <c r="A13" s="16">
        <v>4</v>
      </c>
      <c r="B13" s="17">
        <v>72560705</v>
      </c>
      <c r="C13" s="17">
        <v>9240.6</v>
      </c>
      <c r="D13" s="18">
        <v>1.08</v>
      </c>
      <c r="E13" s="18">
        <v>8.0500000000000007</v>
      </c>
    </row>
    <row r="14" spans="1:5" ht="16.5" customHeight="1">
      <c r="A14" s="16">
        <v>5</v>
      </c>
      <c r="B14" s="17">
        <v>72410132</v>
      </c>
      <c r="C14" s="17">
        <v>9286.9</v>
      </c>
      <c r="D14" s="18">
        <v>1.0900000000000001</v>
      </c>
      <c r="E14" s="18">
        <v>8.0500000000000007</v>
      </c>
    </row>
    <row r="15" spans="1:5" ht="16.5" customHeight="1">
      <c r="A15" s="16">
        <v>6</v>
      </c>
      <c r="B15" s="20">
        <v>72605649</v>
      </c>
      <c r="C15" s="20">
        <v>9298.4500000000007</v>
      </c>
      <c r="D15" s="21">
        <v>1.0900000000000001</v>
      </c>
      <c r="E15" s="21">
        <v>8.0500000000000007</v>
      </c>
    </row>
    <row r="16" spans="1:5" ht="16.5" customHeight="1">
      <c r="A16" s="22" t="s">
        <v>18</v>
      </c>
      <c r="B16" s="23">
        <f>AVERAGE(B10:B15)</f>
        <v>72517159.333333328</v>
      </c>
      <c r="C16" s="24">
        <f>AVERAGE(C10:C15)</f>
        <v>9258.5550000000003</v>
      </c>
      <c r="D16" s="25">
        <f>AVERAGE(D10:D15)</f>
        <v>1.0866666666666667</v>
      </c>
      <c r="E16" s="25">
        <f>AVERAGE(E10:E15)</f>
        <v>8.0449999999999999</v>
      </c>
    </row>
    <row r="17" spans="1:6" ht="16.5" customHeight="1">
      <c r="A17" s="26" t="s">
        <v>19</v>
      </c>
      <c r="B17" s="27">
        <f>(STDEV(B10:B15)/B16)</f>
        <v>9.0463096511772827E-4</v>
      </c>
      <c r="C17" s="28"/>
      <c r="D17" s="28"/>
      <c r="E17" s="29"/>
      <c r="F17" s="2"/>
    </row>
    <row r="18" spans="1:6" s="2" customFormat="1" ht="16.5" customHeight="1">
      <c r="A18" s="30" t="s">
        <v>20</v>
      </c>
      <c r="B18" s="31">
        <f>COUNT(B10:B15)</f>
        <v>6</v>
      </c>
      <c r="C18" s="32"/>
      <c r="D18" s="33"/>
      <c r="E18" s="34"/>
    </row>
    <row r="19" spans="1:6" s="2" customFormat="1" ht="15.75" customHeight="1">
      <c r="A19" s="9"/>
      <c r="B19" s="9"/>
      <c r="C19" s="9"/>
      <c r="D19" s="9"/>
      <c r="E19" s="35"/>
    </row>
    <row r="20" spans="1:6" s="2" customFormat="1" ht="16.5" customHeight="1">
      <c r="A20" s="10" t="s">
        <v>21</v>
      </c>
      <c r="B20" s="36" t="s">
        <v>22</v>
      </c>
      <c r="C20" s="37"/>
      <c r="D20" s="37"/>
      <c r="E20" s="38"/>
    </row>
    <row r="21" spans="1:6" ht="16.5" customHeight="1">
      <c r="A21" s="10"/>
      <c r="B21" s="36" t="s">
        <v>23</v>
      </c>
      <c r="C21" s="37"/>
      <c r="D21" s="37"/>
      <c r="E21" s="38"/>
      <c r="F21" s="2"/>
    </row>
    <row r="22" spans="1:6" ht="16.5" customHeight="1">
      <c r="A22" s="10"/>
      <c r="B22" s="39" t="s">
        <v>24</v>
      </c>
      <c r="C22" s="37"/>
      <c r="D22" s="37"/>
      <c r="E22" s="37"/>
    </row>
    <row r="23" spans="1:6" ht="15.75" customHeight="1">
      <c r="A23" s="9"/>
      <c r="B23" s="9"/>
      <c r="C23" s="9"/>
      <c r="D23" s="9"/>
      <c r="E23" s="9"/>
    </row>
    <row r="24" spans="1:6" ht="16.5" customHeight="1">
      <c r="A24" s="4" t="s">
        <v>1</v>
      </c>
      <c r="B24" s="5" t="s">
        <v>25</v>
      </c>
    </row>
    <row r="25" spans="1:6" ht="16.5" customHeight="1">
      <c r="A25" s="10" t="s">
        <v>4</v>
      </c>
      <c r="B25" s="7" t="s">
        <v>127</v>
      </c>
      <c r="C25" s="9"/>
      <c r="D25" s="9"/>
      <c r="E25" s="9"/>
    </row>
    <row r="26" spans="1:6" ht="16.5" customHeight="1">
      <c r="A26" s="10" t="s">
        <v>6</v>
      </c>
      <c r="B26" s="329">
        <v>95.1</v>
      </c>
      <c r="C26" s="9"/>
      <c r="D26" s="9"/>
      <c r="E26" s="9"/>
    </row>
    <row r="27" spans="1:6" ht="16.5" customHeight="1">
      <c r="A27" s="6" t="s">
        <v>8</v>
      </c>
      <c r="B27" s="11">
        <v>25.37</v>
      </c>
      <c r="C27" s="9"/>
      <c r="D27" s="9"/>
      <c r="E27" s="9"/>
    </row>
    <row r="28" spans="1:6" ht="16.5" customHeight="1">
      <c r="A28" s="6" t="s">
        <v>10</v>
      </c>
      <c r="B28" s="12">
        <f>B27/25*5/50</f>
        <v>0.10148000000000001</v>
      </c>
      <c r="C28" s="9"/>
      <c r="D28" s="9"/>
      <c r="E28" s="9"/>
    </row>
    <row r="29" spans="1:6" ht="15.75" customHeight="1">
      <c r="A29" s="9"/>
      <c r="B29" s="9"/>
      <c r="C29" s="9"/>
      <c r="D29" s="9"/>
      <c r="E29" s="9"/>
    </row>
    <row r="30" spans="1:6" ht="16.5" customHeight="1">
      <c r="A30" s="13" t="s">
        <v>13</v>
      </c>
      <c r="B30" s="14" t="s">
        <v>14</v>
      </c>
      <c r="C30" s="13" t="s">
        <v>15</v>
      </c>
      <c r="D30" s="13" t="s">
        <v>16</v>
      </c>
      <c r="E30" s="15" t="s">
        <v>17</v>
      </c>
    </row>
    <row r="31" spans="1:6" ht="16.5" customHeight="1">
      <c r="A31" s="16">
        <v>1</v>
      </c>
      <c r="B31" s="17">
        <v>72500050</v>
      </c>
      <c r="C31" s="17">
        <v>9221.32</v>
      </c>
      <c r="D31" s="18">
        <v>1.0900000000000001</v>
      </c>
      <c r="E31" s="19">
        <v>8.0399999999999991</v>
      </c>
    </row>
    <row r="32" spans="1:6" ht="16.5" customHeight="1">
      <c r="A32" s="16">
        <v>2</v>
      </c>
      <c r="B32" s="17">
        <v>72515681</v>
      </c>
      <c r="C32" s="17">
        <v>9249.85</v>
      </c>
      <c r="D32" s="18">
        <v>1.0900000000000001</v>
      </c>
      <c r="E32" s="18">
        <v>8.0399999999999991</v>
      </c>
    </row>
    <row r="33" spans="1:7" ht="16.5" customHeight="1">
      <c r="A33" s="16">
        <v>3</v>
      </c>
      <c r="B33" s="17">
        <v>72510739</v>
      </c>
      <c r="C33" s="17">
        <v>9254.2099999999991</v>
      </c>
      <c r="D33" s="18">
        <v>1.08</v>
      </c>
      <c r="E33" s="18">
        <v>8.0399999999999991</v>
      </c>
    </row>
    <row r="34" spans="1:7" ht="16.5" customHeight="1">
      <c r="A34" s="16">
        <v>4</v>
      </c>
      <c r="B34" s="17">
        <v>72560705</v>
      </c>
      <c r="C34" s="17">
        <v>9240.6</v>
      </c>
      <c r="D34" s="18">
        <v>1.08</v>
      </c>
      <c r="E34" s="18">
        <v>8.0500000000000007</v>
      </c>
    </row>
    <row r="35" spans="1:7" ht="16.5" customHeight="1">
      <c r="A35" s="16">
        <v>5</v>
      </c>
      <c r="B35" s="17">
        <v>72410132</v>
      </c>
      <c r="C35" s="17">
        <v>9286.9</v>
      </c>
      <c r="D35" s="18">
        <v>1.0900000000000001</v>
      </c>
      <c r="E35" s="18">
        <v>8.0500000000000007</v>
      </c>
    </row>
    <row r="36" spans="1:7" ht="16.5" customHeight="1">
      <c r="A36" s="16">
        <v>6</v>
      </c>
      <c r="B36" s="20">
        <v>72605649</v>
      </c>
      <c r="C36" s="20">
        <v>9298.4500000000007</v>
      </c>
      <c r="D36" s="21">
        <v>1.0900000000000001</v>
      </c>
      <c r="E36" s="21">
        <v>8.0500000000000007</v>
      </c>
    </row>
    <row r="37" spans="1:7" ht="16.5" customHeight="1">
      <c r="A37" s="22" t="s">
        <v>18</v>
      </c>
      <c r="B37" s="23">
        <f>AVERAGE(B31:B36)</f>
        <v>72517159.333333328</v>
      </c>
      <c r="C37" s="24">
        <f>AVERAGE(C31:C36)</f>
        <v>9258.5550000000003</v>
      </c>
      <c r="D37" s="25">
        <f>AVERAGE(D31:D36)</f>
        <v>1.0866666666666667</v>
      </c>
      <c r="E37" s="25">
        <f>AVERAGE(E31:E36)</f>
        <v>8.0449999999999999</v>
      </c>
    </row>
    <row r="38" spans="1:7" ht="16.5" customHeight="1">
      <c r="A38" s="26" t="s">
        <v>19</v>
      </c>
      <c r="B38" s="27">
        <f>(STDEV(B31:B36)/B37)</f>
        <v>9.0463096511772827E-4</v>
      </c>
      <c r="C38" s="28"/>
      <c r="D38" s="28"/>
      <c r="E38" s="29"/>
      <c r="F38" s="2"/>
    </row>
    <row r="39" spans="1:7" s="2" customFormat="1" ht="16.5" customHeight="1">
      <c r="A39" s="30" t="s">
        <v>20</v>
      </c>
      <c r="B39" s="31">
        <f>COUNT(B31:B36)</f>
        <v>6</v>
      </c>
      <c r="C39" s="32"/>
      <c r="D39" s="33"/>
      <c r="E39" s="34"/>
    </row>
    <row r="40" spans="1:7" s="2" customFormat="1" ht="15.75" customHeight="1">
      <c r="A40" s="9"/>
      <c r="B40" s="9"/>
      <c r="C40" s="9"/>
      <c r="D40" s="9"/>
      <c r="E40" s="35"/>
    </row>
    <row r="41" spans="1:7" s="2" customFormat="1" ht="16.5" customHeight="1">
      <c r="A41" s="10" t="s">
        <v>21</v>
      </c>
      <c r="B41" s="36" t="s">
        <v>22</v>
      </c>
      <c r="C41" s="37"/>
      <c r="D41" s="37"/>
      <c r="E41" s="38"/>
    </row>
    <row r="42" spans="1:7" ht="16.5" customHeight="1">
      <c r="A42" s="10"/>
      <c r="B42" s="36" t="s">
        <v>23</v>
      </c>
      <c r="C42" s="37"/>
      <c r="D42" s="37"/>
      <c r="E42" s="38"/>
      <c r="F42" s="2"/>
    </row>
    <row r="43" spans="1:7" ht="16.5" customHeight="1">
      <c r="A43" s="10"/>
      <c r="B43" s="39" t="s">
        <v>24</v>
      </c>
      <c r="C43" s="37"/>
      <c r="D43" s="38"/>
      <c r="E43" s="37"/>
    </row>
    <row r="44" spans="1:7" ht="14.25" customHeight="1">
      <c r="A44" s="40"/>
      <c r="B44" s="41"/>
      <c r="D44" s="42"/>
      <c r="F44" s="43"/>
      <c r="G44" s="43"/>
    </row>
    <row r="45" spans="1:7" ht="15" customHeight="1">
      <c r="B45" s="289" t="s">
        <v>26</v>
      </c>
      <c r="C45" s="289"/>
      <c r="E45" s="44" t="s">
        <v>27</v>
      </c>
      <c r="F45" s="45"/>
      <c r="G45" s="44" t="s">
        <v>28</v>
      </c>
    </row>
    <row r="46" spans="1:7" ht="15" customHeight="1">
      <c r="A46" s="46" t="s">
        <v>29</v>
      </c>
      <c r="B46" s="47"/>
      <c r="C46" s="330" t="s">
        <v>128</v>
      </c>
      <c r="E46" s="330" t="s">
        <v>129</v>
      </c>
      <c r="F46" s="2"/>
      <c r="G46" s="48"/>
    </row>
    <row r="47" spans="1:7" ht="15" customHeight="1">
      <c r="A47" s="46" t="s">
        <v>30</v>
      </c>
      <c r="B47" s="49"/>
      <c r="C47" s="49"/>
      <c r="E47" s="49"/>
      <c r="F47" s="2"/>
      <c r="G47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zoomScale="40" zoomScaleNormal="60" zoomScaleSheetLayoutView="40" zoomScalePageLayoutView="55" workbookViewId="0">
      <selection activeCell="C123" sqref="C123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318" t="s">
        <v>45</v>
      </c>
      <c r="B1" s="318"/>
      <c r="C1" s="318"/>
      <c r="D1" s="318"/>
      <c r="E1" s="318"/>
      <c r="F1" s="318"/>
      <c r="G1" s="318"/>
      <c r="H1" s="318"/>
      <c r="I1" s="318"/>
    </row>
    <row r="2" spans="1:9" ht="18.75" customHeight="1">
      <c r="A2" s="318"/>
      <c r="B2" s="318"/>
      <c r="C2" s="318"/>
      <c r="D2" s="318"/>
      <c r="E2" s="318"/>
      <c r="F2" s="318"/>
      <c r="G2" s="318"/>
      <c r="H2" s="318"/>
      <c r="I2" s="318"/>
    </row>
    <row r="3" spans="1:9" ht="18.75" customHeight="1">
      <c r="A3" s="318"/>
      <c r="B3" s="318"/>
      <c r="C3" s="318"/>
      <c r="D3" s="318"/>
      <c r="E3" s="318"/>
      <c r="F3" s="318"/>
      <c r="G3" s="318"/>
      <c r="H3" s="318"/>
      <c r="I3" s="318"/>
    </row>
    <row r="4" spans="1:9" ht="18.75" customHeight="1">
      <c r="A4" s="318"/>
      <c r="B4" s="318"/>
      <c r="C4" s="318"/>
      <c r="D4" s="318"/>
      <c r="E4" s="318"/>
      <c r="F4" s="318"/>
      <c r="G4" s="318"/>
      <c r="H4" s="318"/>
      <c r="I4" s="318"/>
    </row>
    <row r="5" spans="1:9" ht="18.75" customHeight="1">
      <c r="A5" s="318"/>
      <c r="B5" s="318"/>
      <c r="C5" s="318"/>
      <c r="D5" s="318"/>
      <c r="E5" s="318"/>
      <c r="F5" s="318"/>
      <c r="G5" s="318"/>
      <c r="H5" s="318"/>
      <c r="I5" s="318"/>
    </row>
    <row r="6" spans="1:9" ht="18.75" customHeight="1">
      <c r="A6" s="318"/>
      <c r="B6" s="318"/>
      <c r="C6" s="318"/>
      <c r="D6" s="318"/>
      <c r="E6" s="318"/>
      <c r="F6" s="318"/>
      <c r="G6" s="318"/>
      <c r="H6" s="318"/>
      <c r="I6" s="318"/>
    </row>
    <row r="7" spans="1:9" ht="18.75" customHeight="1">
      <c r="A7" s="318"/>
      <c r="B7" s="318"/>
      <c r="C7" s="318"/>
      <c r="D7" s="318"/>
      <c r="E7" s="318"/>
      <c r="F7" s="318"/>
      <c r="G7" s="318"/>
      <c r="H7" s="318"/>
      <c r="I7" s="318"/>
    </row>
    <row r="8" spans="1:9">
      <c r="A8" s="319" t="s">
        <v>46</v>
      </c>
      <c r="B8" s="319"/>
      <c r="C8" s="319"/>
      <c r="D8" s="319"/>
      <c r="E8" s="319"/>
      <c r="F8" s="319"/>
      <c r="G8" s="319"/>
      <c r="H8" s="319"/>
      <c r="I8" s="319"/>
    </row>
    <row r="9" spans="1:9">
      <c r="A9" s="319"/>
      <c r="B9" s="319"/>
      <c r="C9" s="319"/>
      <c r="D9" s="319"/>
      <c r="E9" s="319"/>
      <c r="F9" s="319"/>
      <c r="G9" s="319"/>
      <c r="H9" s="319"/>
      <c r="I9" s="319"/>
    </row>
    <row r="10" spans="1:9">
      <c r="A10" s="319"/>
      <c r="B10" s="319"/>
      <c r="C10" s="319"/>
      <c r="D10" s="319"/>
      <c r="E10" s="319"/>
      <c r="F10" s="319"/>
      <c r="G10" s="319"/>
      <c r="H10" s="319"/>
      <c r="I10" s="319"/>
    </row>
    <row r="11" spans="1:9">
      <c r="A11" s="319"/>
      <c r="B11" s="319"/>
      <c r="C11" s="319"/>
      <c r="D11" s="319"/>
      <c r="E11" s="319"/>
      <c r="F11" s="319"/>
      <c r="G11" s="319"/>
      <c r="H11" s="319"/>
      <c r="I11" s="319"/>
    </row>
    <row r="12" spans="1:9">
      <c r="A12" s="319"/>
      <c r="B12" s="319"/>
      <c r="C12" s="319"/>
      <c r="D12" s="319"/>
      <c r="E12" s="319"/>
      <c r="F12" s="319"/>
      <c r="G12" s="319"/>
      <c r="H12" s="319"/>
      <c r="I12" s="319"/>
    </row>
    <row r="13" spans="1:9">
      <c r="A13" s="319"/>
      <c r="B13" s="319"/>
      <c r="C13" s="319"/>
      <c r="D13" s="319"/>
      <c r="E13" s="319"/>
      <c r="F13" s="319"/>
      <c r="G13" s="319"/>
      <c r="H13" s="319"/>
      <c r="I13" s="319"/>
    </row>
    <row r="14" spans="1:9">
      <c r="A14" s="319"/>
      <c r="B14" s="319"/>
      <c r="C14" s="319"/>
      <c r="D14" s="319"/>
      <c r="E14" s="319"/>
      <c r="F14" s="319"/>
      <c r="G14" s="319"/>
      <c r="H14" s="319"/>
      <c r="I14" s="319"/>
    </row>
    <row r="15" spans="1:9" ht="19.5" customHeight="1">
      <c r="A15" s="97"/>
    </row>
    <row r="16" spans="1:9" ht="19.5" customHeight="1">
      <c r="A16" s="291" t="s">
        <v>31</v>
      </c>
      <c r="B16" s="292"/>
      <c r="C16" s="292"/>
      <c r="D16" s="292"/>
      <c r="E16" s="292"/>
      <c r="F16" s="292"/>
      <c r="G16" s="292"/>
      <c r="H16" s="293"/>
    </row>
    <row r="17" spans="1:14" ht="20.25" customHeight="1">
      <c r="A17" s="294" t="s">
        <v>47</v>
      </c>
      <c r="B17" s="294"/>
      <c r="C17" s="294"/>
      <c r="D17" s="294"/>
      <c r="E17" s="294"/>
      <c r="F17" s="294"/>
      <c r="G17" s="294"/>
      <c r="H17" s="294"/>
    </row>
    <row r="18" spans="1:14" ht="26.25" customHeight="1">
      <c r="A18" s="99" t="s">
        <v>33</v>
      </c>
      <c r="B18" s="290" t="s">
        <v>5</v>
      </c>
      <c r="C18" s="290"/>
      <c r="D18" s="266"/>
      <c r="E18" s="100"/>
      <c r="F18" s="101"/>
      <c r="G18" s="101"/>
      <c r="H18" s="101"/>
    </row>
    <row r="19" spans="1:14" ht="26.25" customHeight="1">
      <c r="A19" s="99" t="s">
        <v>34</v>
      </c>
      <c r="B19" s="102" t="s">
        <v>7</v>
      </c>
      <c r="C19" s="279">
        <v>29</v>
      </c>
      <c r="D19" s="101"/>
      <c r="E19" s="101"/>
      <c r="F19" s="101"/>
      <c r="G19" s="101"/>
      <c r="H19" s="101"/>
    </row>
    <row r="20" spans="1:14" ht="26.25" customHeight="1">
      <c r="A20" s="99" t="s">
        <v>35</v>
      </c>
      <c r="B20" s="295" t="s">
        <v>9</v>
      </c>
      <c r="C20" s="295"/>
      <c r="D20" s="101"/>
      <c r="E20" s="101"/>
      <c r="F20" s="101"/>
      <c r="G20" s="101"/>
      <c r="H20" s="101"/>
    </row>
    <row r="21" spans="1:14" ht="26.25" customHeight="1">
      <c r="A21" s="99" t="s">
        <v>36</v>
      </c>
      <c r="B21" s="295" t="s">
        <v>11</v>
      </c>
      <c r="C21" s="295"/>
      <c r="D21" s="295"/>
      <c r="E21" s="295"/>
      <c r="F21" s="295"/>
      <c r="G21" s="295"/>
      <c r="H21" s="295"/>
      <c r="I21" s="103"/>
    </row>
    <row r="22" spans="1:14" ht="26.25" customHeight="1">
      <c r="A22" s="99" t="s">
        <v>37</v>
      </c>
      <c r="B22" s="104">
        <v>42480</v>
      </c>
      <c r="C22" s="101"/>
      <c r="D22" s="101"/>
      <c r="E22" s="101"/>
      <c r="F22" s="101"/>
      <c r="G22" s="101"/>
      <c r="H22" s="101"/>
    </row>
    <row r="23" spans="1:14" ht="26.25" customHeight="1">
      <c r="A23" s="99" t="s">
        <v>38</v>
      </c>
      <c r="B23" s="104">
        <v>42485</v>
      </c>
      <c r="C23" s="101"/>
      <c r="D23" s="101"/>
      <c r="E23" s="101"/>
      <c r="F23" s="101"/>
      <c r="G23" s="101"/>
      <c r="H23" s="101"/>
    </row>
    <row r="24" spans="1:14" ht="18.75">
      <c r="A24" s="99"/>
      <c r="B24" s="105"/>
    </row>
    <row r="25" spans="1:14" ht="18.75">
      <c r="A25" s="106" t="s">
        <v>1</v>
      </c>
      <c r="B25" s="105"/>
    </row>
    <row r="26" spans="1:14" ht="26.25" customHeight="1">
      <c r="A26" s="107" t="s">
        <v>4</v>
      </c>
      <c r="B26" s="290" t="s">
        <v>125</v>
      </c>
      <c r="C26" s="290"/>
    </row>
    <row r="27" spans="1:14" ht="26.25" customHeight="1">
      <c r="A27" s="108" t="s">
        <v>48</v>
      </c>
      <c r="B27" s="296" t="s">
        <v>126</v>
      </c>
      <c r="C27" s="296"/>
    </row>
    <row r="28" spans="1:14" ht="27" customHeight="1">
      <c r="A28" s="108" t="s">
        <v>6</v>
      </c>
      <c r="B28" s="109">
        <v>95.1</v>
      </c>
    </row>
    <row r="29" spans="1:14" s="14" customFormat="1" ht="27" customHeight="1">
      <c r="A29" s="108" t="s">
        <v>49</v>
      </c>
      <c r="B29" s="110">
        <v>0</v>
      </c>
      <c r="C29" s="297" t="s">
        <v>50</v>
      </c>
      <c r="D29" s="298"/>
      <c r="E29" s="298"/>
      <c r="F29" s="298"/>
      <c r="G29" s="299"/>
      <c r="I29" s="111"/>
      <c r="J29" s="111"/>
      <c r="K29" s="111"/>
      <c r="L29" s="111"/>
    </row>
    <row r="30" spans="1:14" s="14" customFormat="1" ht="19.5" customHeight="1">
      <c r="A30" s="108" t="s">
        <v>51</v>
      </c>
      <c r="B30" s="112">
        <f>B28-B29</f>
        <v>95.1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>
      <c r="A31" s="108" t="s">
        <v>52</v>
      </c>
      <c r="B31" s="115">
        <v>558.64</v>
      </c>
      <c r="C31" s="300" t="s">
        <v>53</v>
      </c>
      <c r="D31" s="301"/>
      <c r="E31" s="301"/>
      <c r="F31" s="301"/>
      <c r="G31" s="301"/>
      <c r="H31" s="302"/>
      <c r="I31" s="111"/>
      <c r="J31" s="111"/>
      <c r="K31" s="111"/>
      <c r="L31" s="111"/>
    </row>
    <row r="32" spans="1:14" s="14" customFormat="1" ht="27" customHeight="1">
      <c r="A32" s="108" t="s">
        <v>54</v>
      </c>
      <c r="B32" s="115">
        <v>1155.3420000000001</v>
      </c>
      <c r="C32" s="300" t="s">
        <v>55</v>
      </c>
      <c r="D32" s="301"/>
      <c r="E32" s="301"/>
      <c r="F32" s="301"/>
      <c r="G32" s="301"/>
      <c r="H32" s="302"/>
      <c r="I32" s="111"/>
      <c r="J32" s="111"/>
      <c r="K32" s="111"/>
      <c r="L32" s="116"/>
      <c r="M32" s="116"/>
      <c r="N32" s="117"/>
    </row>
    <row r="33" spans="1:14" s="14" customFormat="1" ht="17.25" customHeight="1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>
      <c r="A34" s="108" t="s">
        <v>56</v>
      </c>
      <c r="B34" s="120">
        <f>B31/B32</f>
        <v>0.48352782119926391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>
      <c r="A36" s="121" t="s">
        <v>58</v>
      </c>
      <c r="B36" s="122">
        <v>25</v>
      </c>
      <c r="C36" s="98"/>
      <c r="D36" s="303" t="s">
        <v>59</v>
      </c>
      <c r="E36" s="304"/>
      <c r="F36" s="303" t="s">
        <v>60</v>
      </c>
      <c r="G36" s="305"/>
      <c r="J36" s="111"/>
      <c r="K36" s="111"/>
      <c r="L36" s="116"/>
      <c r="M36" s="116"/>
      <c r="N36" s="117"/>
    </row>
    <row r="37" spans="1:14" s="14" customFormat="1" ht="27" customHeight="1">
      <c r="A37" s="123" t="s">
        <v>61</v>
      </c>
      <c r="B37" s="124">
        <v>5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>
      <c r="A38" s="123" t="s">
        <v>66</v>
      </c>
      <c r="B38" s="124">
        <v>50</v>
      </c>
      <c r="C38" s="130">
        <v>1</v>
      </c>
      <c r="D38" s="131">
        <v>72384441</v>
      </c>
      <c r="E38" s="132">
        <f>IF(ISBLANK(D38),"-",$D$48/$D$45*D38)</f>
        <v>124094567.22380161</v>
      </c>
      <c r="F38" s="131">
        <v>72335887</v>
      </c>
      <c r="G38" s="133">
        <f>IF(ISBLANK(F38),"-",$D$48/$F$45*F38)</f>
        <v>123864857.05916108</v>
      </c>
      <c r="I38" s="134"/>
      <c r="J38" s="111"/>
      <c r="K38" s="111"/>
      <c r="L38" s="116"/>
      <c r="M38" s="116"/>
      <c r="N38" s="117"/>
    </row>
    <row r="39" spans="1:14" s="14" customFormat="1" ht="26.25" customHeight="1">
      <c r="A39" s="123" t="s">
        <v>67</v>
      </c>
      <c r="B39" s="124">
        <v>1</v>
      </c>
      <c r="C39" s="135">
        <v>2</v>
      </c>
      <c r="D39" s="136">
        <v>72373223</v>
      </c>
      <c r="E39" s="137">
        <f>IF(ISBLANK(D39),"-",$D$48/$D$45*D39)</f>
        <v>124075335.28892881</v>
      </c>
      <c r="F39" s="136">
        <v>72328275</v>
      </c>
      <c r="G39" s="138">
        <f>IF(ISBLANK(F39),"-",$D$48/$F$45*F39)</f>
        <v>123851822.59824495</v>
      </c>
      <c r="I39" s="307">
        <f>ABS((F43/D43*D42)-F42)/D42</f>
        <v>2.5971986821308989E-3</v>
      </c>
      <c r="J39" s="111"/>
      <c r="K39" s="111"/>
      <c r="L39" s="116"/>
      <c r="M39" s="116"/>
      <c r="N39" s="117"/>
    </row>
    <row r="40" spans="1:14" ht="26.25" customHeight="1">
      <c r="A40" s="123" t="s">
        <v>68</v>
      </c>
      <c r="B40" s="124">
        <v>1</v>
      </c>
      <c r="C40" s="135">
        <v>3</v>
      </c>
      <c r="D40" s="136">
        <v>72427656</v>
      </c>
      <c r="E40" s="137">
        <f>IF(ISBLANK(D40),"-",$D$48/$D$45*D40)</f>
        <v>124168654.23267381</v>
      </c>
      <c r="F40" s="136">
        <v>72213906</v>
      </c>
      <c r="G40" s="138">
        <f>IF(ISBLANK(F40),"-",$D$48/$F$45*F40)</f>
        <v>123655982.04904427</v>
      </c>
      <c r="I40" s="307"/>
      <c r="L40" s="116"/>
      <c r="M40" s="116"/>
      <c r="N40" s="139"/>
    </row>
    <row r="41" spans="1:14" ht="27" customHeight="1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>
      <c r="A42" s="123" t="s">
        <v>70</v>
      </c>
      <c r="B42" s="124">
        <v>1</v>
      </c>
      <c r="C42" s="145" t="s">
        <v>71</v>
      </c>
      <c r="D42" s="146">
        <f>AVERAGE(D38:D41)</f>
        <v>72395106.666666672</v>
      </c>
      <c r="E42" s="147">
        <f>AVERAGE(E38:E41)</f>
        <v>124112852.24846809</v>
      </c>
      <c r="F42" s="146">
        <f>AVERAGE(F38:F41)</f>
        <v>72292689.333333328</v>
      </c>
      <c r="G42" s="148">
        <f>AVERAGE(G38:G41)</f>
        <v>123790887.23548342</v>
      </c>
      <c r="H42" s="149"/>
    </row>
    <row r="43" spans="1:14" ht="26.25" customHeight="1">
      <c r="A43" s="123" t="s">
        <v>72</v>
      </c>
      <c r="B43" s="124">
        <v>1</v>
      </c>
      <c r="C43" s="150" t="s">
        <v>73</v>
      </c>
      <c r="D43" s="151">
        <v>25.37</v>
      </c>
      <c r="E43" s="139"/>
      <c r="F43" s="151">
        <v>25.4</v>
      </c>
      <c r="H43" s="149"/>
    </row>
    <row r="44" spans="1:14" ht="26.25" customHeight="1">
      <c r="A44" s="123" t="s">
        <v>74</v>
      </c>
      <c r="B44" s="124">
        <v>1</v>
      </c>
      <c r="C44" s="152" t="s">
        <v>75</v>
      </c>
      <c r="D44" s="153">
        <f>D43*$B$34</f>
        <v>12.267100823825325</v>
      </c>
      <c r="E44" s="154"/>
      <c r="F44" s="153">
        <f>F43*$B$34</f>
        <v>12.281606658461303</v>
      </c>
      <c r="H44" s="149"/>
    </row>
    <row r="45" spans="1:14" ht="19.5" customHeight="1">
      <c r="A45" s="123" t="s">
        <v>76</v>
      </c>
      <c r="B45" s="155">
        <f>(B44/B43)*(B42/B41)*(B40/B39)*(B38/B37)*B36</f>
        <v>250</v>
      </c>
      <c r="C45" s="152" t="s">
        <v>77</v>
      </c>
      <c r="D45" s="156">
        <f>D44*$B$30/100</f>
        <v>11.666012883457883</v>
      </c>
      <c r="E45" s="157"/>
      <c r="F45" s="156">
        <f>F44*$B$30/100</f>
        <v>11.679807932196701</v>
      </c>
      <c r="H45" s="149"/>
    </row>
    <row r="46" spans="1:14" ht="19.5" customHeight="1">
      <c r="A46" s="308" t="s">
        <v>78</v>
      </c>
      <c r="B46" s="309"/>
      <c r="C46" s="152" t="s">
        <v>79</v>
      </c>
      <c r="D46" s="158">
        <f>D45/$B$45</f>
        <v>4.6664051533831533E-2</v>
      </c>
      <c r="E46" s="159"/>
      <c r="F46" s="160">
        <f>F45/$B$45</f>
        <v>4.6719231728786802E-2</v>
      </c>
      <c r="H46" s="149"/>
    </row>
    <row r="47" spans="1:14" ht="27" customHeight="1">
      <c r="A47" s="310"/>
      <c r="B47" s="311"/>
      <c r="C47" s="161" t="s">
        <v>80</v>
      </c>
      <c r="D47" s="162">
        <v>0.08</v>
      </c>
      <c r="E47" s="163"/>
      <c r="F47" s="159"/>
      <c r="H47" s="149"/>
    </row>
    <row r="48" spans="1:14" ht="18.75">
      <c r="C48" s="164" t="s">
        <v>81</v>
      </c>
      <c r="D48" s="156">
        <f>D47*$B$45</f>
        <v>20</v>
      </c>
      <c r="F48" s="165"/>
      <c r="H48" s="149"/>
    </row>
    <row r="49" spans="1:12" ht="19.5" customHeight="1">
      <c r="C49" s="166" t="s">
        <v>82</v>
      </c>
      <c r="D49" s="167">
        <f>D48/B34</f>
        <v>41.362666475726769</v>
      </c>
      <c r="F49" s="165"/>
      <c r="H49" s="149"/>
    </row>
    <row r="50" spans="1:12" ht="18.75">
      <c r="C50" s="121" t="s">
        <v>83</v>
      </c>
      <c r="D50" s="168">
        <f>AVERAGE(E38:E41,G38:G41)</f>
        <v>123951869.74197574</v>
      </c>
      <c r="F50" s="169"/>
      <c r="H50" s="149"/>
    </row>
    <row r="51" spans="1:12" ht="18.75">
      <c r="C51" s="123" t="s">
        <v>84</v>
      </c>
      <c r="D51" s="170">
        <f>STDEV(E38:E41,G38:G41)/D50</f>
        <v>1.5632594428627836E-3</v>
      </c>
      <c r="F51" s="169"/>
      <c r="H51" s="149"/>
    </row>
    <row r="52" spans="1:12" ht="19.5" customHeight="1">
      <c r="C52" s="171" t="s">
        <v>20</v>
      </c>
      <c r="D52" s="172">
        <f>COUNT(E38:E41,G38:G41)</f>
        <v>6</v>
      </c>
      <c r="F52" s="169"/>
    </row>
    <row r="54" spans="1:12" ht="18.75">
      <c r="A54" s="173" t="s">
        <v>1</v>
      </c>
      <c r="B54" s="174" t="s">
        <v>85</v>
      </c>
    </row>
    <row r="55" spans="1:12" ht="18.75">
      <c r="A55" s="98" t="s">
        <v>86</v>
      </c>
      <c r="B55" s="175" t="str">
        <f>B21</f>
        <v/>
      </c>
    </row>
    <row r="56" spans="1:12" ht="26.25" customHeight="1">
      <c r="A56" s="176" t="s">
        <v>87</v>
      </c>
      <c r="B56" s="177">
        <v>10</v>
      </c>
      <c r="C56" s="98" t="str">
        <f>B20</f>
        <v/>
      </c>
      <c r="H56" s="178"/>
    </row>
    <row r="57" spans="1:12" ht="18.75">
      <c r="A57" s="175" t="s">
        <v>88</v>
      </c>
      <c r="B57" s="267">
        <f>Uniformity!C46</f>
        <v>151.14750000000001</v>
      </c>
      <c r="H57" s="178"/>
    </row>
    <row r="58" spans="1:12" ht="19.5" customHeight="1">
      <c r="H58" s="178"/>
    </row>
    <row r="59" spans="1:12" s="14" customFormat="1" ht="27" customHeight="1">
      <c r="A59" s="121" t="s">
        <v>89</v>
      </c>
      <c r="B59" s="122">
        <v>50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>
      <c r="A60" s="123" t="s">
        <v>93</v>
      </c>
      <c r="B60" s="124">
        <v>5</v>
      </c>
      <c r="C60" s="312" t="s">
        <v>94</v>
      </c>
      <c r="D60" s="315">
        <v>602.17999999999995</v>
      </c>
      <c r="E60" s="181">
        <v>1</v>
      </c>
      <c r="F60" s="182">
        <v>112839990</v>
      </c>
      <c r="G60" s="268">
        <f>IF(ISBLANK(F60),"-",(F60/$D$50*$D$47*$B$68)*($B$57/$D$60))</f>
        <v>9.1399661860427237</v>
      </c>
      <c r="H60" s="183">
        <f t="shared" ref="H60:H71" si="0">IF(ISBLANK(F60),"-",G60/$B$56)</f>
        <v>0.91399661860427239</v>
      </c>
      <c r="L60" s="111"/>
    </row>
    <row r="61" spans="1:12" s="14" customFormat="1" ht="26.25" customHeight="1">
      <c r="A61" s="123" t="s">
        <v>95</v>
      </c>
      <c r="B61" s="124">
        <v>50</v>
      </c>
      <c r="C61" s="313"/>
      <c r="D61" s="316"/>
      <c r="E61" s="184">
        <v>2</v>
      </c>
      <c r="F61" s="136">
        <v>113168157</v>
      </c>
      <c r="G61" s="269">
        <f>IF(ISBLANK(F61),"-",(F61/$D$50*$D$47*$B$68)*($B$57/$D$60))</f>
        <v>9.1665475007289015</v>
      </c>
      <c r="H61" s="185">
        <f t="shared" si="0"/>
        <v>0.9166547500728901</v>
      </c>
      <c r="L61" s="111"/>
    </row>
    <row r="62" spans="1:12" s="14" customFormat="1" ht="26.25" customHeight="1">
      <c r="A62" s="123" t="s">
        <v>96</v>
      </c>
      <c r="B62" s="124">
        <v>1</v>
      </c>
      <c r="C62" s="313"/>
      <c r="D62" s="316"/>
      <c r="E62" s="184">
        <v>3</v>
      </c>
      <c r="F62" s="186">
        <v>113228645</v>
      </c>
      <c r="G62" s="269">
        <f>IF(ISBLANK(F62),"-",(F62/$D$50*$D$47*$B$68)*($B$57/$D$60))</f>
        <v>9.171446989595049</v>
      </c>
      <c r="H62" s="185">
        <f t="shared" si="0"/>
        <v>0.9171446989595049</v>
      </c>
      <c r="L62" s="111"/>
    </row>
    <row r="63" spans="1:12" ht="27" customHeight="1">
      <c r="A63" s="123" t="s">
        <v>97</v>
      </c>
      <c r="B63" s="124">
        <v>1</v>
      </c>
      <c r="C63" s="314"/>
      <c r="D63" s="317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>
      <c r="A64" s="123" t="s">
        <v>98</v>
      </c>
      <c r="B64" s="124">
        <v>1</v>
      </c>
      <c r="C64" s="312" t="s">
        <v>99</v>
      </c>
      <c r="D64" s="315">
        <v>601.48</v>
      </c>
      <c r="E64" s="181">
        <v>1</v>
      </c>
      <c r="F64" s="182">
        <v>112508641</v>
      </c>
      <c r="G64" s="270">
        <f>IF(ISBLANK(F64),"-",(F64/$D$50*$D$47*$B$68)*($B$57/$D$64))</f>
        <v>9.1237329520443016</v>
      </c>
      <c r="H64" s="189">
        <f t="shared" si="0"/>
        <v>0.91237329520443011</v>
      </c>
    </row>
    <row r="65" spans="1:8" ht="26.25" customHeight="1">
      <c r="A65" s="123" t="s">
        <v>100</v>
      </c>
      <c r="B65" s="124">
        <v>1</v>
      </c>
      <c r="C65" s="313"/>
      <c r="D65" s="316"/>
      <c r="E65" s="184">
        <v>2</v>
      </c>
      <c r="F65" s="136">
        <v>112702193</v>
      </c>
      <c r="G65" s="271">
        <f>IF(ISBLANK(F65),"-",(F65/$D$50*$D$47*$B$68)*($B$57/$D$64))</f>
        <v>9.1394287843345001</v>
      </c>
      <c r="H65" s="190">
        <f t="shared" si="0"/>
        <v>0.91394287843345001</v>
      </c>
    </row>
    <row r="66" spans="1:8" ht="26.25" customHeight="1">
      <c r="A66" s="123" t="s">
        <v>101</v>
      </c>
      <c r="B66" s="124">
        <v>1</v>
      </c>
      <c r="C66" s="313"/>
      <c r="D66" s="316"/>
      <c r="E66" s="184">
        <v>3</v>
      </c>
      <c r="F66" s="136">
        <v>112850527</v>
      </c>
      <c r="G66" s="271">
        <f>IF(ISBLANK(F66),"-",(F66/$D$50*$D$47*$B$68)*($B$57/$D$64))</f>
        <v>9.1514577253267611</v>
      </c>
      <c r="H66" s="190">
        <f t="shared" si="0"/>
        <v>0.91514577253267615</v>
      </c>
    </row>
    <row r="67" spans="1:8" ht="27" customHeight="1">
      <c r="A67" s="123" t="s">
        <v>102</v>
      </c>
      <c r="B67" s="124">
        <v>1</v>
      </c>
      <c r="C67" s="314"/>
      <c r="D67" s="317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>
      <c r="A68" s="123" t="s">
        <v>103</v>
      </c>
      <c r="B68" s="192">
        <f>(B67/B66)*(B65/B64)*(B63/B62)*(B61/B60)*B59</f>
        <v>500</v>
      </c>
      <c r="C68" s="312" t="s">
        <v>104</v>
      </c>
      <c r="D68" s="315">
        <v>599.32000000000005</v>
      </c>
      <c r="E68" s="181">
        <v>1</v>
      </c>
      <c r="F68" s="182">
        <v>112068929</v>
      </c>
      <c r="G68" s="270">
        <f>IF(ISBLANK(F68),"-",(F68/$D$50*$D$47*$B$68)*($B$57/$D$68))</f>
        <v>9.1208293061449464</v>
      </c>
      <c r="H68" s="185">
        <f t="shared" si="0"/>
        <v>0.91208293061449464</v>
      </c>
    </row>
    <row r="69" spans="1:8" ht="27" customHeight="1">
      <c r="A69" s="171" t="s">
        <v>105</v>
      </c>
      <c r="B69" s="193">
        <f>(D47*B68)/B56*B57</f>
        <v>604.59</v>
      </c>
      <c r="C69" s="313"/>
      <c r="D69" s="316"/>
      <c r="E69" s="184">
        <v>2</v>
      </c>
      <c r="F69" s="136">
        <v>112085737</v>
      </c>
      <c r="G69" s="271">
        <f>IF(ISBLANK(F69),"-",(F69/$D$50*$D$47*$B$68)*($B$57/$D$68))</f>
        <v>9.1221972401507898</v>
      </c>
      <c r="H69" s="185">
        <f t="shared" si="0"/>
        <v>0.912219724015079</v>
      </c>
    </row>
    <row r="70" spans="1:8" ht="26.25" customHeight="1">
      <c r="A70" s="325" t="s">
        <v>78</v>
      </c>
      <c r="B70" s="326"/>
      <c r="C70" s="313"/>
      <c r="D70" s="316"/>
      <c r="E70" s="184">
        <v>3</v>
      </c>
      <c r="F70" s="136">
        <v>112205960</v>
      </c>
      <c r="G70" s="271">
        <f>IF(ISBLANK(F70),"-",(F70/$D$50*$D$47*$B$68)*($B$57/$D$68))</f>
        <v>9.1319816957662514</v>
      </c>
      <c r="H70" s="185">
        <f t="shared" si="0"/>
        <v>0.91319816957662514</v>
      </c>
    </row>
    <row r="71" spans="1:8" ht="27" customHeight="1">
      <c r="A71" s="327"/>
      <c r="B71" s="328"/>
      <c r="C71" s="324"/>
      <c r="D71" s="317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>
      <c r="A72" s="195"/>
      <c r="B72" s="195"/>
      <c r="C72" s="195"/>
      <c r="D72" s="195"/>
      <c r="E72" s="195"/>
      <c r="F72" s="197" t="s">
        <v>71</v>
      </c>
      <c r="G72" s="277">
        <f>AVERAGE(G60:G71)</f>
        <v>9.1408431533482464</v>
      </c>
      <c r="H72" s="198">
        <f>AVERAGE(H60:H71)</f>
        <v>0.9140843153348247</v>
      </c>
    </row>
    <row r="73" spans="1:8" ht="26.25" customHeight="1">
      <c r="C73" s="195"/>
      <c r="D73" s="195"/>
      <c r="E73" s="195"/>
      <c r="F73" s="199" t="s">
        <v>84</v>
      </c>
      <c r="G73" s="273">
        <f>STDEV(G60:G71)/G72</f>
        <v>2.0584246004484779E-3</v>
      </c>
      <c r="H73" s="273">
        <f>STDEV(H60:H71)/H72</f>
        <v>2.0584246004484753E-3</v>
      </c>
    </row>
    <row r="74" spans="1:8" ht="27" customHeight="1">
      <c r="A74" s="195"/>
      <c r="B74" s="195"/>
      <c r="C74" s="196"/>
      <c r="D74" s="196"/>
      <c r="E74" s="200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>
      <c r="A76" s="107" t="s">
        <v>106</v>
      </c>
      <c r="B76" s="203" t="s">
        <v>107</v>
      </c>
      <c r="C76" s="320" t="str">
        <f>B20</f>
        <v/>
      </c>
      <c r="D76" s="320"/>
      <c r="E76" s="204" t="s">
        <v>108</v>
      </c>
      <c r="F76" s="204"/>
      <c r="G76" s="205">
        <f>H72</f>
        <v>0.9140843153348247</v>
      </c>
      <c r="H76" s="206"/>
    </row>
    <row r="77" spans="1:8" ht="18.75">
      <c r="A77" s="106" t="s">
        <v>109</v>
      </c>
      <c r="B77" s="106" t="s">
        <v>110</v>
      </c>
    </row>
    <row r="78" spans="1:8" ht="18.75">
      <c r="A78" s="106"/>
      <c r="B78" s="106"/>
    </row>
    <row r="79" spans="1:8" ht="26.25" customHeight="1">
      <c r="A79" s="107" t="s">
        <v>4</v>
      </c>
      <c r="B79" s="306" t="str">
        <f>B26</f>
        <v>Atorvastatin calcium</v>
      </c>
      <c r="C79" s="306"/>
    </row>
    <row r="80" spans="1:8" ht="26.25" customHeight="1">
      <c r="A80" s="108" t="s">
        <v>48</v>
      </c>
      <c r="B80" s="306" t="str">
        <f>B27</f>
        <v>A17-1</v>
      </c>
      <c r="C80" s="306"/>
    </row>
    <row r="81" spans="1:12" ht="27" customHeight="1">
      <c r="A81" s="108" t="s">
        <v>6</v>
      </c>
      <c r="B81" s="207">
        <f>B28</f>
        <v>95.1</v>
      </c>
    </row>
    <row r="82" spans="1:12" s="14" customFormat="1" ht="27" customHeight="1">
      <c r="A82" s="108" t="s">
        <v>49</v>
      </c>
      <c r="B82" s="110">
        <v>0</v>
      </c>
      <c r="C82" s="297" t="s">
        <v>50</v>
      </c>
      <c r="D82" s="298"/>
      <c r="E82" s="298"/>
      <c r="F82" s="298"/>
      <c r="G82" s="299"/>
      <c r="I82" s="111"/>
      <c r="J82" s="111"/>
      <c r="K82" s="111"/>
      <c r="L82" s="111"/>
    </row>
    <row r="83" spans="1:12" s="14" customFormat="1" ht="19.5" customHeight="1">
      <c r="A83" s="108" t="s">
        <v>51</v>
      </c>
      <c r="B83" s="112">
        <f>B81-B82</f>
        <v>95.1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>
      <c r="A84" s="108" t="s">
        <v>52</v>
      </c>
      <c r="B84" s="115">
        <v>558.64</v>
      </c>
      <c r="C84" s="300" t="s">
        <v>111</v>
      </c>
      <c r="D84" s="301"/>
      <c r="E84" s="301"/>
      <c r="F84" s="301"/>
      <c r="G84" s="301"/>
      <c r="H84" s="302"/>
      <c r="I84" s="111"/>
      <c r="J84" s="111"/>
      <c r="K84" s="111"/>
      <c r="L84" s="111"/>
    </row>
    <row r="85" spans="1:12" s="14" customFormat="1" ht="27" customHeight="1">
      <c r="A85" s="108" t="s">
        <v>54</v>
      </c>
      <c r="B85" s="115">
        <v>1155.3420000000001</v>
      </c>
      <c r="C85" s="300" t="s">
        <v>112</v>
      </c>
      <c r="D85" s="301"/>
      <c r="E85" s="301"/>
      <c r="F85" s="301"/>
      <c r="G85" s="301"/>
      <c r="H85" s="302"/>
      <c r="I85" s="111"/>
      <c r="J85" s="111"/>
      <c r="K85" s="111"/>
      <c r="L85" s="111"/>
    </row>
    <row r="86" spans="1:12" s="14" customFormat="1" ht="18.75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>
      <c r="A87" s="108" t="s">
        <v>56</v>
      </c>
      <c r="B87" s="120">
        <f>B84/B85</f>
        <v>0.48352782119926391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thickBot="1">
      <c r="A88" s="106"/>
      <c r="B88" s="106"/>
    </row>
    <row r="89" spans="1:12" ht="27" customHeight="1" thickBot="1">
      <c r="A89" s="121" t="s">
        <v>58</v>
      </c>
      <c r="B89" s="122">
        <v>25</v>
      </c>
      <c r="D89" s="208" t="s">
        <v>59</v>
      </c>
      <c r="E89" s="209"/>
      <c r="F89" s="303" t="s">
        <v>60</v>
      </c>
      <c r="G89" s="305"/>
    </row>
    <row r="90" spans="1:12" ht="27" customHeight="1" thickBot="1">
      <c r="A90" s="123" t="s">
        <v>61</v>
      </c>
      <c r="B90" s="124">
        <v>1</v>
      </c>
      <c r="C90" s="210" t="s">
        <v>62</v>
      </c>
      <c r="D90" s="126" t="s">
        <v>63</v>
      </c>
      <c r="E90" s="127" t="s">
        <v>64</v>
      </c>
      <c r="F90" s="126" t="s">
        <v>63</v>
      </c>
      <c r="G90" s="211" t="s">
        <v>64</v>
      </c>
      <c r="I90" s="129" t="s">
        <v>65</v>
      </c>
    </row>
    <row r="91" spans="1:12" ht="26.25" customHeight="1">
      <c r="A91" s="123" t="s">
        <v>66</v>
      </c>
      <c r="B91" s="124">
        <v>50</v>
      </c>
      <c r="C91" s="212">
        <v>1</v>
      </c>
      <c r="D91" s="131">
        <v>15683625</v>
      </c>
      <c r="E91" s="132">
        <f>IF(ISBLANK(D91),"-",$D$101/$D$98*D91)</f>
        <v>18672028.496460419</v>
      </c>
      <c r="F91" s="131">
        <v>15437600</v>
      </c>
      <c r="G91" s="133">
        <f>IF(ISBLANK(F91),"-",$D$101/$F$98*F91)</f>
        <v>18357417.549655318</v>
      </c>
      <c r="I91" s="134"/>
    </row>
    <row r="92" spans="1:12" ht="26.25" customHeight="1">
      <c r="A92" s="123" t="s">
        <v>67</v>
      </c>
      <c r="B92" s="124">
        <v>1</v>
      </c>
      <c r="C92" s="196">
        <v>2</v>
      </c>
      <c r="D92" s="136">
        <v>15723428</v>
      </c>
      <c r="E92" s="137">
        <f>IF(ISBLANK(D92),"-",$D$101/$D$98*D92)</f>
        <v>18719415.675779272</v>
      </c>
      <c r="F92" s="136">
        <v>15495023</v>
      </c>
      <c r="G92" s="138">
        <f>IF(ISBLANK(F92),"-",$D$101/$F$98*F92)</f>
        <v>18425701.349465773</v>
      </c>
      <c r="I92" s="307">
        <f>ABS((F96/D96*D95)-F95)/D95</f>
        <v>1.6612485598210151E-2</v>
      </c>
    </row>
    <row r="93" spans="1:12" ht="26.25" customHeight="1">
      <c r="A93" s="123" t="s">
        <v>68</v>
      </c>
      <c r="B93" s="124">
        <v>1</v>
      </c>
      <c r="C93" s="196">
        <v>3</v>
      </c>
      <c r="D93" s="136">
        <v>15716708</v>
      </c>
      <c r="E93" s="137">
        <f>IF(ISBLANK(D93),"-",$D$101/$D$98*D93)</f>
        <v>18711415.227445662</v>
      </c>
      <c r="F93" s="136">
        <v>15464019</v>
      </c>
      <c r="G93" s="138">
        <f>IF(ISBLANK(F93),"-",$D$101/$F$98*F93)</f>
        <v>18388833.35355258</v>
      </c>
      <c r="I93" s="307"/>
    </row>
    <row r="94" spans="1:12" ht="27" customHeight="1">
      <c r="A94" s="123" t="s">
        <v>69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>
      <c r="A95" s="123" t="s">
        <v>70</v>
      </c>
      <c r="B95" s="124">
        <v>1</v>
      </c>
      <c r="C95" s="215" t="s">
        <v>71</v>
      </c>
      <c r="D95" s="216">
        <f>AVERAGE(D91:D94)</f>
        <v>15707920.333333334</v>
      </c>
      <c r="E95" s="147">
        <f>AVERAGE(E91:E94)</f>
        <v>18700953.133228451</v>
      </c>
      <c r="F95" s="217">
        <f>AVERAGE(F91:F94)</f>
        <v>15465547.333333334</v>
      </c>
      <c r="G95" s="218">
        <f>AVERAGE(G91:G94)</f>
        <v>18390650.750891224</v>
      </c>
    </row>
    <row r="96" spans="1:12" ht="26.25" customHeight="1">
      <c r="A96" s="123" t="s">
        <v>72</v>
      </c>
      <c r="B96" s="109">
        <v>1</v>
      </c>
      <c r="C96" s="219" t="s">
        <v>113</v>
      </c>
      <c r="D96" s="220">
        <f>D43</f>
        <v>25.37</v>
      </c>
      <c r="E96" s="139"/>
      <c r="F96" s="151">
        <f>F43</f>
        <v>25.4</v>
      </c>
    </row>
    <row r="97" spans="1:10" ht="26.25" customHeight="1">
      <c r="A97" s="123" t="s">
        <v>74</v>
      </c>
      <c r="B97" s="109">
        <v>1</v>
      </c>
      <c r="C97" s="221" t="s">
        <v>114</v>
      </c>
      <c r="D97" s="222">
        <f>D96*$B$87</f>
        <v>12.267100823825325</v>
      </c>
      <c r="E97" s="154"/>
      <c r="F97" s="153">
        <f>F96*$B$87</f>
        <v>12.281606658461303</v>
      </c>
    </row>
    <row r="98" spans="1:10" ht="19.5" customHeight="1">
      <c r="A98" s="123" t="s">
        <v>76</v>
      </c>
      <c r="B98" s="223">
        <f>(B97/B96)*(B95/B94)*(B93/B92)*(B91/B90)*B89</f>
        <v>1250</v>
      </c>
      <c r="C98" s="221" t="s">
        <v>115</v>
      </c>
      <c r="D98" s="224">
        <f>D97*$B$83/100</f>
        <v>11.666012883457883</v>
      </c>
      <c r="E98" s="157"/>
      <c r="F98" s="156">
        <f>F97*$B$83/100</f>
        <v>11.679807932196701</v>
      </c>
    </row>
    <row r="99" spans="1:10" ht="19.5" customHeight="1">
      <c r="A99" s="308" t="s">
        <v>78</v>
      </c>
      <c r="B99" s="322"/>
      <c r="C99" s="221" t="s">
        <v>116</v>
      </c>
      <c r="D99" s="225">
        <f>D98/$B$98</f>
        <v>9.3328103067663072E-3</v>
      </c>
      <c r="E99" s="157"/>
      <c r="F99" s="160">
        <f>F98/$B$98</f>
        <v>9.3438463457573596E-3</v>
      </c>
      <c r="G99" s="226"/>
      <c r="H99" s="149"/>
    </row>
    <row r="100" spans="1:10" ht="19.5" customHeight="1">
      <c r="A100" s="310"/>
      <c r="B100" s="323"/>
      <c r="C100" s="221" t="s">
        <v>80</v>
      </c>
      <c r="D100" s="227">
        <f>$B$56/$B$116</f>
        <v>1.1111111111111112E-2</v>
      </c>
      <c r="F100" s="165"/>
      <c r="G100" s="228"/>
      <c r="H100" s="149"/>
    </row>
    <row r="101" spans="1:10" ht="18.75">
      <c r="C101" s="221" t="s">
        <v>81</v>
      </c>
      <c r="D101" s="222">
        <f>D100*$B$98</f>
        <v>13.888888888888889</v>
      </c>
      <c r="F101" s="165"/>
      <c r="G101" s="226"/>
      <c r="H101" s="149"/>
    </row>
    <row r="102" spans="1:10" ht="19.5" customHeight="1">
      <c r="C102" s="229" t="s">
        <v>82</v>
      </c>
      <c r="D102" s="230">
        <f>D101/B34</f>
        <v>28.724073941476924</v>
      </c>
      <c r="F102" s="169"/>
      <c r="G102" s="226"/>
      <c r="H102" s="149"/>
      <c r="J102" s="231"/>
    </row>
    <row r="103" spans="1:10" ht="18.75">
      <c r="C103" s="232" t="s">
        <v>117</v>
      </c>
      <c r="D103" s="233">
        <f>AVERAGE(E91:E94,G91:G94)</f>
        <v>18545801.942059837</v>
      </c>
      <c r="F103" s="169"/>
      <c r="G103" s="234"/>
      <c r="H103" s="149"/>
      <c r="J103" s="235"/>
    </row>
    <row r="104" spans="1:10" ht="18.75">
      <c r="C104" s="199" t="s">
        <v>84</v>
      </c>
      <c r="D104" s="236">
        <f>STDEV(E91:E94,G91:G94)/D103</f>
        <v>9.2785547536031032E-3</v>
      </c>
      <c r="F104" s="169"/>
      <c r="G104" s="226"/>
      <c r="H104" s="149"/>
      <c r="J104" s="235"/>
    </row>
    <row r="105" spans="1:10" ht="19.5" customHeight="1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>
      <c r="A106" s="173"/>
      <c r="B106" s="173"/>
      <c r="C106" s="173"/>
      <c r="D106" s="173"/>
      <c r="E106" s="173"/>
    </row>
    <row r="107" spans="1:10" ht="26.25" customHeight="1">
      <c r="A107" s="121" t="s">
        <v>118</v>
      </c>
      <c r="B107" s="122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>
      <c r="A108" s="123" t="s">
        <v>122</v>
      </c>
      <c r="B108" s="124">
        <v>1</v>
      </c>
      <c r="C108" s="242">
        <v>1</v>
      </c>
      <c r="D108" s="243">
        <v>15693866</v>
      </c>
      <c r="E108" s="274">
        <f t="shared" ref="E108:E113" si="1">IF(ISBLANK(D108),"-",D108/$D$103*$D$100*$B$116)</f>
        <v>8.4622202097435544</v>
      </c>
      <c r="F108" s="244">
        <f t="shared" ref="F108:F113" si="2">IF(ISBLANK(D108), "-", E108/$B$56)</f>
        <v>0.84622202097435539</v>
      </c>
    </row>
    <row r="109" spans="1:10" ht="26.25" customHeight="1">
      <c r="A109" s="123" t="s">
        <v>95</v>
      </c>
      <c r="B109" s="124">
        <v>1</v>
      </c>
      <c r="C109" s="242">
        <v>2</v>
      </c>
      <c r="D109" s="243">
        <v>15892104</v>
      </c>
      <c r="E109" s="275">
        <f t="shared" si="1"/>
        <v>8.5691112466581778</v>
      </c>
      <c r="F109" s="245">
        <f t="shared" si="2"/>
        <v>0.85691112466581776</v>
      </c>
    </row>
    <row r="110" spans="1:10" ht="26.25" customHeight="1">
      <c r="A110" s="123" t="s">
        <v>96</v>
      </c>
      <c r="B110" s="124">
        <v>1</v>
      </c>
      <c r="C110" s="242">
        <v>3</v>
      </c>
      <c r="D110" s="243">
        <v>15311317</v>
      </c>
      <c r="E110" s="275">
        <f t="shared" si="1"/>
        <v>8.2559476521075208</v>
      </c>
      <c r="F110" s="245">
        <f t="shared" si="2"/>
        <v>0.82559476521075204</v>
      </c>
    </row>
    <row r="111" spans="1:10" ht="26.25" customHeight="1">
      <c r="A111" s="123" t="s">
        <v>97</v>
      </c>
      <c r="B111" s="124">
        <v>1</v>
      </c>
      <c r="C111" s="242">
        <v>4</v>
      </c>
      <c r="D111" s="243">
        <v>15708348</v>
      </c>
      <c r="E111" s="275">
        <f t="shared" si="1"/>
        <v>8.4700289850368762</v>
      </c>
      <c r="F111" s="245">
        <f t="shared" si="2"/>
        <v>0.8470028985036876</v>
      </c>
    </row>
    <row r="112" spans="1:10" ht="26.25" customHeight="1">
      <c r="A112" s="123" t="s">
        <v>98</v>
      </c>
      <c r="B112" s="124">
        <v>1</v>
      </c>
      <c r="C112" s="242">
        <v>5</v>
      </c>
      <c r="D112" s="243">
        <v>15095955</v>
      </c>
      <c r="E112" s="275">
        <f t="shared" si="1"/>
        <v>8.1398232587419344</v>
      </c>
      <c r="F112" s="245">
        <f t="shared" si="2"/>
        <v>0.81398232587419339</v>
      </c>
    </row>
    <row r="113" spans="1:10" ht="26.25" customHeight="1">
      <c r="A113" s="123" t="s">
        <v>100</v>
      </c>
      <c r="B113" s="124">
        <v>1</v>
      </c>
      <c r="C113" s="246">
        <v>6</v>
      </c>
      <c r="D113" s="247">
        <v>15758390</v>
      </c>
      <c r="E113" s="276">
        <f t="shared" si="1"/>
        <v>8.4970119109606728</v>
      </c>
      <c r="F113" s="248">
        <f t="shared" si="2"/>
        <v>0.84970119109606723</v>
      </c>
    </row>
    <row r="114" spans="1:10" ht="26.25" customHeight="1">
      <c r="A114" s="123" t="s">
        <v>101</v>
      </c>
      <c r="B114" s="124">
        <v>1</v>
      </c>
      <c r="C114" s="242"/>
      <c r="D114" s="196"/>
      <c r="E114" s="97"/>
      <c r="F114" s="249"/>
    </row>
    <row r="115" spans="1:10" ht="26.25" customHeight="1">
      <c r="A115" s="123" t="s">
        <v>102</v>
      </c>
      <c r="B115" s="124">
        <v>1</v>
      </c>
      <c r="C115" s="242"/>
      <c r="D115" s="250" t="s">
        <v>71</v>
      </c>
      <c r="E115" s="278">
        <f>AVERAGE(E108:E113)</f>
        <v>8.3990238772081227</v>
      </c>
      <c r="F115" s="251">
        <f>AVERAGE(F108:F113)</f>
        <v>0.83990238772081227</v>
      </c>
    </row>
    <row r="116" spans="1:10" ht="27" customHeight="1">
      <c r="A116" s="123" t="s">
        <v>103</v>
      </c>
      <c r="B116" s="155">
        <f>(B115/B114)*(B113/B112)*(B111/B110)*(B109/B108)*B107</f>
        <v>900</v>
      </c>
      <c r="C116" s="252"/>
      <c r="D116" s="215" t="s">
        <v>84</v>
      </c>
      <c r="E116" s="253">
        <f>STDEV(E108:E113)/E115</f>
        <v>1.9579918589856575E-2</v>
      </c>
      <c r="F116" s="253">
        <f>STDEV(F108:F113)/F115</f>
        <v>1.9579918589854622E-2</v>
      </c>
      <c r="I116" s="97"/>
    </row>
    <row r="117" spans="1:10" ht="27" customHeight="1">
      <c r="A117" s="308" t="s">
        <v>78</v>
      </c>
      <c r="B117" s="309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7"/>
      <c r="J117" s="235"/>
    </row>
    <row r="118" spans="1:10" ht="19.5" customHeight="1">
      <c r="A118" s="310"/>
      <c r="B118" s="311"/>
      <c r="C118" s="97"/>
      <c r="D118" s="97"/>
      <c r="E118" s="97"/>
      <c r="F118" s="196"/>
      <c r="G118" s="97"/>
      <c r="H118" s="97"/>
      <c r="I118" s="97"/>
    </row>
    <row r="119" spans="1:10" ht="18.75">
      <c r="A119" s="265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>
      <c r="A120" s="107" t="s">
        <v>106</v>
      </c>
      <c r="B120" s="203" t="s">
        <v>123</v>
      </c>
      <c r="C120" s="320" t="str">
        <f>B20</f>
        <v/>
      </c>
      <c r="D120" s="320"/>
      <c r="E120" s="204" t="s">
        <v>124</v>
      </c>
      <c r="F120" s="204"/>
      <c r="G120" s="205">
        <f>F115</f>
        <v>0.83990238772081227</v>
      </c>
      <c r="H120" s="97"/>
      <c r="I120" s="97"/>
    </row>
    <row r="121" spans="1:10" ht="19.5" customHeight="1">
      <c r="A121" s="257"/>
      <c r="B121" s="257"/>
      <c r="C121" s="258"/>
      <c r="D121" s="258"/>
      <c r="E121" s="258"/>
      <c r="F121" s="258"/>
      <c r="G121" s="258"/>
      <c r="H121" s="258"/>
    </row>
    <row r="122" spans="1:10" ht="18.75">
      <c r="B122" s="321" t="s">
        <v>26</v>
      </c>
      <c r="C122" s="321"/>
      <c r="E122" s="210" t="s">
        <v>27</v>
      </c>
      <c r="F122" s="259"/>
      <c r="G122" s="321" t="s">
        <v>28</v>
      </c>
      <c r="H122" s="321"/>
    </row>
    <row r="123" spans="1:10" ht="69.95" customHeight="1">
      <c r="A123" s="260" t="s">
        <v>29</v>
      </c>
      <c r="B123" s="261"/>
      <c r="C123" s="261"/>
      <c r="E123" s="261"/>
      <c r="F123" s="97"/>
      <c r="G123" s="262"/>
      <c r="H123" s="262"/>
    </row>
    <row r="124" spans="1:10" ht="69.95" customHeight="1">
      <c r="A124" s="260" t="s">
        <v>30</v>
      </c>
      <c r="B124" s="263"/>
      <c r="C124" s="263"/>
      <c r="E124" s="263"/>
      <c r="F124" s="97"/>
      <c r="G124" s="264"/>
      <c r="H124" s="264"/>
    </row>
    <row r="125" spans="1:10" ht="18.75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</vt:lpstr>
      <vt:lpstr>SST</vt:lpstr>
      <vt:lpstr>Atorvastatin</vt:lpstr>
      <vt:lpstr>Atorvastatin!Print_Area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2016-04-25T06:05:14Z</cp:lastPrinted>
  <dcterms:created xsi:type="dcterms:W3CDTF">2005-07-05T10:19:27Z</dcterms:created>
  <dcterms:modified xsi:type="dcterms:W3CDTF">2016-04-25T06:19:39Z</dcterms:modified>
</cp:coreProperties>
</file>