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7"/>
  </bookViews>
  <sheets>
    <sheet name="Uniformity" sheetId="12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SST E (2)" sheetId="13" r:id="rId7"/>
    <sheet name="Ethambutol hydrochloride (2)" sheetId="14" r:id="rId8"/>
    <sheet name="SST R" sheetId="8" r:id="rId9"/>
  </sheets>
  <definedNames>
    <definedName name="_xlnm.Print_Area" localSheetId="7">'Ethambutol hydrochloride (2)'!$A$1:$I$125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57" i="14" l="1"/>
  <c r="C120" i="14"/>
  <c r="B116" i="14"/>
  <c r="D101" i="14"/>
  <c r="D102" i="14" s="1"/>
  <c r="D100" i="14"/>
  <c r="B98" i="14"/>
  <c r="F96" i="14"/>
  <c r="F97" i="14" s="1"/>
  <c r="F98" i="14" s="1"/>
  <c r="D96" i="14"/>
  <c r="F95" i="14"/>
  <c r="D95" i="14"/>
  <c r="G94" i="14"/>
  <c r="E94" i="14"/>
  <c r="B87" i="14"/>
  <c r="D97" i="14" s="1"/>
  <c r="D98" i="14" s="1"/>
  <c r="B83" i="14"/>
  <c r="B81" i="14"/>
  <c r="B80" i="14"/>
  <c r="B79" i="14"/>
  <c r="C76" i="14"/>
  <c r="H71" i="14"/>
  <c r="G71" i="14"/>
  <c r="B68" i="14"/>
  <c r="B69" i="14" s="1"/>
  <c r="H67" i="14"/>
  <c r="G67" i="14"/>
  <c r="H63" i="14"/>
  <c r="G63" i="14"/>
  <c r="G62" i="14"/>
  <c r="H62" i="14" s="1"/>
  <c r="G61" i="14"/>
  <c r="H61" i="14" s="1"/>
  <c r="G60" i="14"/>
  <c r="H60" i="14" s="1"/>
  <c r="C56" i="14"/>
  <c r="B55" i="14"/>
  <c r="B45" i="14"/>
  <c r="D48" i="14" s="1"/>
  <c r="F44" i="14"/>
  <c r="F45" i="14" s="1"/>
  <c r="F46" i="14" s="1"/>
  <c r="D44" i="14"/>
  <c r="D45" i="14" s="1"/>
  <c r="D46" i="14" s="1"/>
  <c r="F42" i="14"/>
  <c r="D42" i="14"/>
  <c r="I39" i="14" s="1"/>
  <c r="G41" i="14"/>
  <c r="E41" i="14"/>
  <c r="B34" i="14"/>
  <c r="B30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G39" i="14" l="1"/>
  <c r="G40" i="14"/>
  <c r="D49" i="14"/>
  <c r="E40" i="14"/>
  <c r="E38" i="14"/>
  <c r="E39" i="14"/>
  <c r="G38" i="14"/>
  <c r="G42" i="14" s="1"/>
  <c r="G92" i="14"/>
  <c r="G93" i="14"/>
  <c r="F99" i="14"/>
  <c r="D99" i="14"/>
  <c r="E92" i="14"/>
  <c r="G91" i="14"/>
  <c r="G95" i="14" s="1"/>
  <c r="E93" i="14"/>
  <c r="E91" i="14"/>
  <c r="I92" i="14"/>
  <c r="B40" i="8"/>
  <c r="B40" i="7"/>
  <c r="D105" i="14" l="1"/>
  <c r="E95" i="14"/>
  <c r="D103" i="14"/>
  <c r="D50" i="14"/>
  <c r="D52" i="14"/>
  <c r="E42" i="14"/>
  <c r="F96" i="5"/>
  <c r="D96" i="5"/>
  <c r="F96" i="4"/>
  <c r="D96" i="4"/>
  <c r="E112" i="14" l="1"/>
  <c r="F112" i="14" s="1"/>
  <c r="E110" i="14"/>
  <c r="F110" i="14" s="1"/>
  <c r="E108" i="14"/>
  <c r="E113" i="14"/>
  <c r="F113" i="14" s="1"/>
  <c r="E111" i="14"/>
  <c r="F111" i="14" s="1"/>
  <c r="E109" i="14"/>
  <c r="F109" i="14" s="1"/>
  <c r="D104" i="14"/>
  <c r="D51" i="14"/>
  <c r="G70" i="14"/>
  <c r="H70" i="14" s="1"/>
  <c r="G68" i="14"/>
  <c r="H68" i="14" s="1"/>
  <c r="G69" i="14"/>
  <c r="H69" i="14" s="1"/>
  <c r="G66" i="14"/>
  <c r="H66" i="14" s="1"/>
  <c r="G64" i="14"/>
  <c r="G65" i="14"/>
  <c r="H65" i="14" s="1"/>
  <c r="B41" i="7"/>
  <c r="B41" i="1"/>
  <c r="B41" i="8"/>
  <c r="E115" i="14" l="1"/>
  <c r="E116" i="14" s="1"/>
  <c r="E117" i="14"/>
  <c r="F108" i="14"/>
  <c r="H64" i="14"/>
  <c r="G74" i="14"/>
  <c r="G72" i="14"/>
  <c r="G73" i="14" s="1"/>
  <c r="B19" i="8"/>
  <c r="B19" i="7"/>
  <c r="B19" i="5"/>
  <c r="B19" i="4"/>
  <c r="C46" i="12"/>
  <c r="D50" i="12" s="1"/>
  <c r="C45" i="12"/>
  <c r="C19" i="12"/>
  <c r="B42" i="1"/>
  <c r="B42" i="7"/>
  <c r="B42" i="8"/>
  <c r="D68" i="4"/>
  <c r="D68" i="5" s="1"/>
  <c r="D64" i="4"/>
  <c r="D64" i="5" s="1"/>
  <c r="D60" i="4"/>
  <c r="D60" i="5" s="1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F117" i="14" l="1"/>
  <c r="F115" i="14"/>
  <c r="H74" i="14"/>
  <c r="H72" i="14"/>
  <c r="D27" i="12"/>
  <c r="D31" i="12"/>
  <c r="D39" i="12"/>
  <c r="D25" i="12"/>
  <c r="D41" i="12"/>
  <c r="D35" i="12"/>
  <c r="C49" i="12"/>
  <c r="D33" i="12"/>
  <c r="D43" i="12"/>
  <c r="B57" i="3"/>
  <c r="B57" i="4" s="1"/>
  <c r="B57" i="5" s="1"/>
  <c r="D29" i="12"/>
  <c r="D37" i="12"/>
  <c r="D24" i="12"/>
  <c r="D28" i="12"/>
  <c r="D32" i="12"/>
  <c r="D36" i="12"/>
  <c r="D40" i="12"/>
  <c r="D49" i="12"/>
  <c r="C50" i="12"/>
  <c r="D26" i="12"/>
  <c r="D30" i="12"/>
  <c r="D34" i="12"/>
  <c r="D38" i="12"/>
  <c r="D42" i="12"/>
  <c r="B49" i="12"/>
  <c r="B21" i="7"/>
  <c r="B21" i="1"/>
  <c r="B53" i="7"/>
  <c r="E51" i="7"/>
  <c r="D51" i="7"/>
  <c r="C51" i="7"/>
  <c r="B51" i="7"/>
  <c r="B52" i="7" s="1"/>
  <c r="B32" i="7"/>
  <c r="E30" i="7"/>
  <c r="D30" i="7"/>
  <c r="C30" i="7"/>
  <c r="B30" i="7"/>
  <c r="B31" i="7" s="1"/>
  <c r="G120" i="14" l="1"/>
  <c r="F116" i="14"/>
  <c r="G76" i="14"/>
  <c r="H73" i="14"/>
  <c r="C120" i="5"/>
  <c r="B116" i="5"/>
  <c r="D100" i="5"/>
  <c r="D101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I92" i="3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G91" i="4"/>
  <c r="D46" i="5"/>
  <c r="E38" i="5"/>
  <c r="G91" i="5"/>
  <c r="D44" i="3"/>
  <c r="D45" i="3" s="1"/>
  <c r="E39" i="3" s="1"/>
  <c r="D49" i="3"/>
  <c r="D98" i="5"/>
  <c r="D99" i="5" s="1"/>
  <c r="D102" i="5"/>
  <c r="G93" i="5"/>
  <c r="G94" i="5"/>
  <c r="G92" i="5"/>
  <c r="B69" i="4"/>
  <c r="D102" i="4"/>
  <c r="G93" i="4"/>
  <c r="F44" i="4"/>
  <c r="F45" i="4" s="1"/>
  <c r="F46" i="4" s="1"/>
  <c r="D49" i="5"/>
  <c r="E40" i="5"/>
  <c r="E41" i="5"/>
  <c r="E39" i="5"/>
  <c r="B69" i="5"/>
  <c r="F44" i="5"/>
  <c r="F45" i="5" s="1"/>
  <c r="F46" i="5" s="1"/>
  <c r="E40" i="4" l="1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95" i="5"/>
  <c r="D103" i="5"/>
  <c r="D105" i="5"/>
  <c r="E110" i="4" l="1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<sst xmlns="http://schemas.openxmlformats.org/spreadsheetml/2006/main" count="853" uniqueCount="145">
  <si>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</si>
  <si>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</si>
  <si>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</si>
  <si>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</si>
  <si>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</si>
  <si>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</si>
  <si>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</si>
  <si>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</si>
  <si>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</si>
  <si>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</si>
  <si>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</si>
  <si>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</si>
  <si>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</si>
  <si>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</si>
  <si>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</si>
  <si>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</si>
  <si>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</si>
  <si>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</si>
  <si>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</si>
  <si>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</si>
  <si>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</si>
  <si>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</si>
  <si>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</si>
  <si>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</si>
  <si>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</si>
  <si>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</si>
  <si>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</si>
  <si>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</si>
  <si>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</si>
  <si>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</si>
  <si>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</si>
  <si>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</si>
  <si>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</si>
  <si>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</si>
  <si>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</si>
  <si>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</si>
  <si>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</si>
  <si>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</si>
  <si>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</si>
  <si>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</si>
  <si>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</si>
  <si>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</si>
  <si>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</si>
  <si>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</si>
  <si>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</si>
  <si>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</si>
  <si>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</si>
  <si>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</si>
  <si>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</si>
  <si>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</si>
  <si>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</si>
  <si>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</si>
  <si>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</si>
  <si>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</si>
  <si>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</si>
  <si>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</si>
  <si>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</si>
  <si>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</si>
  <si>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</si>
  <si>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</si>
  <si>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</si>
  <si>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</si>
  <si>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</si>
  <si>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</si>
  <si>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</si>
  <si>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</si>
  <si>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</si>
  <si>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</si>
  <si>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</si>
  <si>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</si>
  <si>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</si>
  <si>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</si>
  <si>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</si>
  <si>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</si>
  <si>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</si>
  <si>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</si>
  <si>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</si>
  <si>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</si>
  <si>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</si>
  <si>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</si>
  <si>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</si>
  <si>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</si>
  <si>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</si>
  <si>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</si>
  <si>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</si>
  <si>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</si>
  <si>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</si>
  <si>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</si>
  <si>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</si>
  <si>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</si>
  <si>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</si>
  <si>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</si>
  <si>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</si>
  <si>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</si>
  <si>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</si>
  <si>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</si>
  <si>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</si>
  <si>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</si>
  <si>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</si>
  <si>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</si>
  <si>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</si>
  <si>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</si>
  <si>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</si>
  <si>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</si>
  <si>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</si>
  <si>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</si>
  <si>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</si>
  <si>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</si>
  <si>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</si>
  <si>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</si>
  <si>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</si>
  <si>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</si>
  <si>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</si>
  <si>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</si>
  <si>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</si>
  <si>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</si>
  <si>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</si>
  <si>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</si>
  <si>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</si>
  <si>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</si>
  <si>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</si>
  <si>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</si>
  <si>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</si>
  <si>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</si>
  <si>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</si>
  <si>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</si>
  <si>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</si>
  <si>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</si>
  <si>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</si>
  <si>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</si>
  <si>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</si>
  <si>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</si>
  <si>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</si>
  <si>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</si>
  <si>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</si>
  <si>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</si>
  <si>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</si>
  <si>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NDQD2016061089</t>
  </si>
  <si>
    <t>2016-06-09 15:13:36</t>
  </si>
  <si>
    <t>NDQD201511523</t>
  </si>
  <si>
    <t>Ethambutol HCl</t>
  </si>
  <si>
    <t>NDQD2016061091</t>
  </si>
  <si>
    <t>ETHAMBUTOL HCl 275mg</t>
  </si>
  <si>
    <t>E12 3</t>
  </si>
  <si>
    <t>NDQD2015523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</si>
</sst>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4" fillId="2" borderId="0"/>
    <xf numFmtId="0" fontId="21" fillId="2" borderId="0"/>
  </cellStyleXfs>
  <cellXfs count="9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3" fillId="2" borderId="0" xfId="0" applyFont="1" applyFill="1"/>
    <xf numFmtId="0" fontId="26" fillId="2" borderId="0" xfId="2" applyFont="1" applyFill="1"/>
    <xf numFmtId="0" fontId="24" fillId="2" borderId="0" xfId="2" applyFill="1"/>
    <xf numFmtId="0" fontId="27" fillId="2" borderId="0" xfId="2" applyFont="1" applyFill="1" applyAlignment="1">
      <alignment wrapText="1"/>
    </xf>
    <xf numFmtId="0" fontId="28" fillId="2" borderId="0" xfId="2" applyFont="1" applyFill="1"/>
    <xf numFmtId="0" fontId="22" fillId="2" borderId="0" xfId="2" applyFont="1" applyFill="1"/>
    <xf numFmtId="167" fontId="22" fillId="2" borderId="0" xfId="2" applyNumberFormat="1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7" fontId="22" fillId="2" borderId="0" xfId="2" applyNumberFormat="1" applyFont="1" applyFill="1"/>
    <xf numFmtId="0" fontId="28" fillId="2" borderId="0" xfId="2" applyFont="1" applyFill="1" applyAlignment="1">
      <alignment horizontal="left"/>
    </xf>
    <xf numFmtId="0" fontId="29" fillId="2" borderId="0" xfId="2" applyFont="1" applyFill="1"/>
    <xf numFmtId="164" fontId="26" fillId="2" borderId="0" xfId="2" applyNumberFormat="1" applyFont="1" applyFill="1"/>
    <xf numFmtId="164" fontId="23" fillId="2" borderId="12" xfId="2" applyNumberFormat="1" applyFont="1" applyFill="1" applyBorder="1" applyAlignment="1">
      <alignment horizontal="center" wrapText="1"/>
    </xf>
    <xf numFmtId="0" fontId="23" fillId="2" borderId="12" xfId="2" applyFont="1" applyFill="1" applyBorder="1" applyAlignment="1">
      <alignment horizontal="center" wrapText="1"/>
    </xf>
    <xf numFmtId="0" fontId="30" fillId="2" borderId="0" xfId="2" applyFont="1" applyFill="1" applyAlignment="1">
      <alignment horizontal="center"/>
    </xf>
    <xf numFmtId="2" fontId="22" fillId="3" borderId="14" xfId="2" applyNumberFormat="1" applyFont="1" applyFill="1" applyBorder="1" applyProtection="1">
      <protection locked="0"/>
    </xf>
    <xf numFmtId="10" fontId="22" fillId="2" borderId="13" xfId="2" applyNumberFormat="1" applyFont="1" applyFill="1" applyBorder="1" applyAlignment="1">
      <alignment horizontal="center"/>
    </xf>
    <xf numFmtId="10" fontId="22" fillId="2" borderId="0" xfId="2" applyNumberFormat="1" applyFont="1" applyFill="1" applyAlignment="1">
      <alignment horizontal="center"/>
    </xf>
    <xf numFmtId="10" fontId="22" fillId="2" borderId="14" xfId="2" applyNumberFormat="1" applyFont="1" applyFill="1" applyBorder="1" applyAlignment="1">
      <alignment horizontal="center"/>
    </xf>
    <xf numFmtId="2" fontId="22" fillId="3" borderId="15" xfId="2" applyNumberFormat="1" applyFont="1" applyFill="1" applyBorder="1" applyProtection="1">
      <protection locked="0"/>
    </xf>
    <xf numFmtId="10" fontId="22" fillId="2" borderId="15" xfId="2" applyNumberFormat="1" applyFont="1" applyFill="1" applyBorder="1" applyAlignment="1">
      <alignment horizontal="center"/>
    </xf>
    <xf numFmtId="166" fontId="30" fillId="2" borderId="0" xfId="2" applyNumberFormat="1" applyFont="1" applyFill="1" applyAlignment="1">
      <alignment horizontal="center"/>
    </xf>
    <xf numFmtId="10" fontId="30" fillId="2" borderId="0" xfId="2" applyNumberFormat="1" applyFont="1" applyFill="1" applyAlignment="1">
      <alignment horizontal="center"/>
    </xf>
    <xf numFmtId="0" fontId="22" fillId="2" borderId="12" xfId="2" applyFont="1" applyFill="1" applyBorder="1" applyAlignment="1">
      <alignment horizontal="right" vertical="center"/>
    </xf>
    <xf numFmtId="166" fontId="22" fillId="2" borderId="12" xfId="2" applyNumberFormat="1" applyFont="1" applyFill="1" applyBorder="1" applyAlignment="1">
      <alignment horizontal="center" vertical="center"/>
    </xf>
    <xf numFmtId="166" fontId="22" fillId="2" borderId="0" xfId="2" applyNumberFormat="1" applyFont="1" applyFill="1" applyAlignment="1">
      <alignment horizontal="center"/>
    </xf>
    <xf numFmtId="164" fontId="23" fillId="2" borderId="12" xfId="2" applyNumberFormat="1" applyFont="1" applyFill="1" applyBorder="1" applyAlignment="1">
      <alignment horizontal="center" vertical="center"/>
    </xf>
    <xf numFmtId="2" fontId="31" fillId="2" borderId="0" xfId="2" applyNumberFormat="1" applyFont="1" applyFill="1" applyAlignment="1">
      <alignment horizontal="right"/>
    </xf>
    <xf numFmtId="2" fontId="23" fillId="2" borderId="0" xfId="2" applyNumberFormat="1" applyFont="1" applyFill="1"/>
    <xf numFmtId="2" fontId="31" fillId="2" borderId="0" xfId="2" applyNumberFormat="1" applyFont="1" applyFill="1"/>
    <xf numFmtId="0" fontId="23" fillId="2" borderId="12" xfId="2" applyFont="1" applyFill="1" applyBorder="1" applyAlignment="1">
      <alignment horizontal="center" vertical="center"/>
    </xf>
    <xf numFmtId="10" fontId="30" fillId="2" borderId="0" xfId="2" applyNumberFormat="1" applyFont="1" applyFill="1"/>
    <xf numFmtId="165" fontId="23" fillId="2" borderId="16" xfId="2" applyNumberFormat="1" applyFont="1" applyFill="1" applyBorder="1" applyAlignment="1">
      <alignment horizontal="center"/>
    </xf>
    <xf numFmtId="2" fontId="23" fillId="2" borderId="12" xfId="2" applyNumberFormat="1" applyFont="1" applyFill="1" applyBorder="1" applyAlignment="1">
      <alignment horizontal="center" vertical="center"/>
    </xf>
    <xf numFmtId="165" fontId="23" fillId="2" borderId="17" xfId="2" applyNumberFormat="1" applyFont="1" applyFill="1" applyBorder="1" applyAlignment="1">
      <alignment horizontal="center"/>
    </xf>
    <xf numFmtId="0" fontId="22" fillId="2" borderId="9" xfId="2" applyFont="1" applyFill="1" applyBorder="1"/>
    <xf numFmtId="0" fontId="22" fillId="2" borderId="0" xfId="2" applyFont="1" applyFill="1" applyAlignment="1">
      <alignment horizontal="center"/>
    </xf>
    <xf numFmtId="10" fontId="22" fillId="2" borderId="9" xfId="2" applyNumberFormat="1" applyFont="1" applyFill="1" applyBorder="1"/>
    <xf numFmtId="0" fontId="23" fillId="2" borderId="10" xfId="2" applyFont="1" applyFill="1" applyBorder="1"/>
    <xf numFmtId="0" fontId="23" fillId="2" borderId="1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/>
    </xf>
    <xf numFmtId="0" fontId="22" fillId="2" borderId="7" xfId="2" applyFont="1" applyFill="1" applyBorder="1"/>
    <xf numFmtId="0" fontId="23" fillId="2" borderId="11" xfId="2" applyFont="1" applyFill="1" applyBorder="1"/>
    <xf numFmtId="0" fontId="23" fillId="2" borderId="0" xfId="2" applyFont="1" applyFill="1"/>
    <xf numFmtId="0" fontId="22" fillId="2" borderId="11" xfId="2" applyFont="1" applyFill="1" applyBorder="1"/>
    <xf numFmtId="0" fontId="25" fillId="3" borderId="0" xfId="0" applyFont="1" applyFill="1" applyAlignment="1" applyProtection="1">
      <alignment horizontal="left"/>
      <protection locked="0"/>
    </xf>
    <xf numFmtId="2" fontId="23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166" fontId="23" fillId="2" borderId="13" xfId="2" applyNumberFormat="1" applyFont="1" applyFill="1" applyBorder="1" applyAlignment="1">
      <alignment horizontal="center" vertical="center"/>
    </xf>
    <xf numFmtId="166" fontId="23" fillId="2" borderId="15" xfId="2" applyNumberFormat="1" applyFont="1" applyFill="1" applyBorder="1" applyAlignment="1">
      <alignment horizontal="center" vertical="center"/>
    </xf>
    <xf numFmtId="0" fontId="27" fillId="2" borderId="18" xfId="2" applyFont="1" applyFill="1" applyBorder="1" applyAlignment="1">
      <alignment horizontal="center" wrapText="1"/>
    </xf>
    <xf numFmtId="0" fontId="27" fillId="2" borderId="19" xfId="2" applyFont="1" applyFill="1" applyBorder="1" applyAlignment="1">
      <alignment horizontal="center" wrapText="1"/>
    </xf>
    <xf numFmtId="0" fontId="27" fillId="2" borderId="20" xfId="2" applyFont="1" applyFill="1" applyBorder="1" applyAlignment="1">
      <alignment horizontal="center" wrapText="1"/>
    </xf>
    <xf numFmtId="0" fontId="28" fillId="2" borderId="0" xfId="2" applyFont="1" applyFill="1" applyAlignment="1">
      <alignment horizontal="center"/>
    </xf>
    <xf numFmtId="0" fontId="23" fillId="2" borderId="0" xfId="2" applyFont="1" applyFill="1" applyAlignment="1">
      <alignment horizontal="right"/>
    </xf>
    <xf numFmtId="164" fontId="26" fillId="2" borderId="0" xfId="2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9" fillId="2" borderId="47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1" fillId="3" borderId="0" xfId="1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6" workbookViewId="0">
      <selection activeCell="C44" sqref="C44"/>
    </sheetView>
  </sheetViews>
  <sheetFormatPr defaultRowHeight="15" x14ac:dyDescent="0.3"/>
  <cols>
    <col min="1" max="1" width="15.5703125" style="608" customWidth="1"/>
    <col min="2" max="2" width="18.42578125" style="608" customWidth="1"/>
    <col min="3" max="3" width="14.28515625" style="608" customWidth="1"/>
    <col min="4" max="4" width="15" style="608" customWidth="1"/>
    <col min="5" max="5" width="9.140625" style="608" customWidth="1"/>
    <col min="6" max="6" width="27.85546875" style="608" customWidth="1"/>
    <col min="7" max="7" width="12.28515625" style="608" customWidth="1"/>
    <col min="8" max="8" width="9.140625" style="608" customWidth="1"/>
    <col min="9" max="16384" width="9.140625" style="609"/>
  </cols>
  <sheetData>
    <row r="10" spans="1:7" ht="13.5" customHeight="1" thickBot="1" x14ac:dyDescent="0.35"/>
    <row r="11" spans="1:7" ht="13.5" customHeight="1" thickBot="1" x14ac:dyDescent="0.35">
      <c r="A11" s="862" t="s">
        <v>30</v>
      </c>
      <c r="B11" s="863"/>
      <c r="C11" s="863"/>
      <c r="D11" s="863"/>
      <c r="E11" s="863"/>
      <c r="F11" s="864"/>
      <c r="G11" s="610"/>
    </row>
    <row r="12" spans="1:7" ht="16.5" customHeight="1" x14ac:dyDescent="0.3">
      <c r="A12" s="865" t="s">
        <v>31</v>
      </c>
      <c r="B12" s="865"/>
      <c r="C12" s="865"/>
      <c r="D12" s="865"/>
      <c r="E12" s="865"/>
      <c r="F12" s="865"/>
      <c r="G12" s="611"/>
    </row>
    <row r="14" spans="1:7" ht="16.5" customHeight="1" x14ac:dyDescent="0.3">
      <c r="A14" s="866" t="s">
        <v>32</v>
      </c>
      <c r="B14" s="866"/>
      <c r="C14" s="612" t="s">
        <v>5</v>
      </c>
    </row>
    <row r="15" spans="1:7" ht="16.5" customHeight="1" x14ac:dyDescent="0.3">
      <c r="A15" s="866" t="s">
        <v>33</v>
      </c>
      <c r="B15" s="866"/>
      <c r="C15" s="612" t="s">
        <v>137</v>
      </c>
    </row>
    <row r="16" spans="1:7" ht="16.5" customHeight="1" x14ac:dyDescent="0.3">
      <c r="A16" s="866" t="s">
        <v>34</v>
      </c>
      <c r="B16" s="866"/>
      <c r="C16" s="612" t="s">
        <v>8</v>
      </c>
    </row>
    <row r="17" spans="1:5" ht="16.5" customHeight="1" x14ac:dyDescent="0.3">
      <c r="A17" s="866" t="s">
        <v>35</v>
      </c>
      <c r="B17" s="866"/>
      <c r="C17" s="612" t="s">
        <v>10</v>
      </c>
    </row>
    <row r="18" spans="1:5" ht="16.5" customHeight="1" x14ac:dyDescent="0.3">
      <c r="A18" s="866" t="s">
        <v>36</v>
      </c>
      <c r="B18" s="866"/>
      <c r="C18" s="613" t="s">
        <v>138</v>
      </c>
    </row>
    <row r="19" spans="1:5" ht="16.5" customHeight="1" x14ac:dyDescent="0.3">
      <c r="A19" s="866" t="s">
        <v>37</v>
      </c>
      <c r="B19" s="866"/>
      <c r="C19" s="613" t="e">
        <f>#REF!</f>
        <v>#REF!</v>
      </c>
    </row>
    <row r="20" spans="1:5" ht="16.5" customHeight="1" x14ac:dyDescent="0.3">
      <c r="A20" s="614"/>
      <c r="B20" s="614"/>
      <c r="C20" s="615"/>
    </row>
    <row r="21" spans="1:5" ht="16.5" customHeight="1" x14ac:dyDescent="0.3">
      <c r="A21" s="865" t="s">
        <v>1</v>
      </c>
      <c r="B21" s="865"/>
      <c r="C21" s="616" t="s">
        <v>38</v>
      </c>
      <c r="D21" s="617"/>
    </row>
    <row r="22" spans="1:5" ht="15.75" customHeight="1" thickBot="1" x14ac:dyDescent="0.35">
      <c r="A22" s="867"/>
      <c r="B22" s="867"/>
      <c r="C22" s="618"/>
      <c r="D22" s="867"/>
      <c r="E22" s="867"/>
    </row>
    <row r="23" spans="1:5" ht="33.75" customHeight="1" thickBot="1" x14ac:dyDescent="0.35">
      <c r="C23" s="619" t="s">
        <v>39</v>
      </c>
      <c r="D23" s="620" t="s">
        <v>40</v>
      </c>
      <c r="E23" s="621"/>
    </row>
    <row r="24" spans="1:5" ht="15.75" customHeight="1" x14ac:dyDescent="0.3">
      <c r="C24" s="622">
        <v>1262.53</v>
      </c>
      <c r="D24" s="623">
        <f t="shared" ref="D24:D43" si="0">(C24-$C$46)/$C$46</f>
        <v>4.4216511935269977E-4</v>
      </c>
      <c r="E24" s="624"/>
    </row>
    <row r="25" spans="1:5" ht="15.75" customHeight="1" x14ac:dyDescent="0.3">
      <c r="C25" s="622">
        <v>1254.3599999999999</v>
      </c>
      <c r="D25" s="625">
        <f t="shared" si="0"/>
        <v>-6.0318295493087849E-3</v>
      </c>
      <c r="E25" s="624"/>
    </row>
    <row r="26" spans="1:5" ht="15.75" customHeight="1" x14ac:dyDescent="0.3">
      <c r="C26" s="622">
        <v>1269.45</v>
      </c>
      <c r="D26" s="625">
        <f t="shared" si="0"/>
        <v>5.9256465278150683E-3</v>
      </c>
      <c r="E26" s="624"/>
    </row>
    <row r="27" spans="1:5" ht="15.75" customHeight="1" x14ac:dyDescent="0.3">
      <c r="C27" s="622">
        <v>1258.72</v>
      </c>
      <c r="D27" s="625">
        <f t="shared" si="0"/>
        <v>-2.576919297734165E-3</v>
      </c>
      <c r="E27" s="624"/>
    </row>
    <row r="28" spans="1:5" ht="15.75" customHeight="1" x14ac:dyDescent="0.3">
      <c r="C28" s="622">
        <v>1263.48</v>
      </c>
      <c r="D28" s="625">
        <f t="shared" si="0"/>
        <v>1.1949551971040646E-3</v>
      </c>
      <c r="E28" s="624"/>
    </row>
    <row r="29" spans="1:5" ht="15.75" customHeight="1" x14ac:dyDescent="0.3">
      <c r="C29" s="622">
        <v>1267.71</v>
      </c>
      <c r="D29" s="625">
        <f t="shared" si="0"/>
        <v>4.5468520696178901E-3</v>
      </c>
      <c r="E29" s="624"/>
    </row>
    <row r="30" spans="1:5" ht="15.75" customHeight="1" x14ac:dyDescent="0.3">
      <c r="C30" s="622">
        <v>1263.07</v>
      </c>
      <c r="D30" s="625">
        <f t="shared" si="0"/>
        <v>8.7006684775868938E-4</v>
      </c>
      <c r="E30" s="624"/>
    </row>
    <row r="31" spans="1:5" ht="15.75" customHeight="1" x14ac:dyDescent="0.3">
      <c r="C31" s="622">
        <v>1269.18</v>
      </c>
      <c r="D31" s="625">
        <f t="shared" si="0"/>
        <v>5.7116956636120734E-3</v>
      </c>
      <c r="E31" s="624"/>
    </row>
    <row r="32" spans="1:5" ht="15.75" customHeight="1" x14ac:dyDescent="0.3">
      <c r="C32" s="622">
        <v>1257.52</v>
      </c>
      <c r="D32" s="625">
        <f t="shared" si="0"/>
        <v>-3.5278120275253531E-3</v>
      </c>
      <c r="E32" s="624"/>
    </row>
    <row r="33" spans="1:7" ht="15.75" customHeight="1" x14ac:dyDescent="0.3">
      <c r="C33" s="622">
        <v>1259.29</v>
      </c>
      <c r="D33" s="625">
        <f t="shared" si="0"/>
        <v>-2.1252452510834179E-3</v>
      </c>
      <c r="E33" s="624"/>
    </row>
    <row r="34" spans="1:7" ht="15.75" customHeight="1" x14ac:dyDescent="0.3">
      <c r="C34" s="622">
        <v>1263.46</v>
      </c>
      <c r="D34" s="625">
        <f t="shared" si="0"/>
        <v>1.179106984940893E-3</v>
      </c>
      <c r="E34" s="624"/>
    </row>
    <row r="35" spans="1:7" ht="15.75" customHeight="1" x14ac:dyDescent="0.3">
      <c r="C35" s="622">
        <v>1263.46</v>
      </c>
      <c r="D35" s="625">
        <f t="shared" si="0"/>
        <v>1.179106984940893E-3</v>
      </c>
      <c r="E35" s="624"/>
    </row>
    <row r="36" spans="1:7" ht="15.75" customHeight="1" x14ac:dyDescent="0.3">
      <c r="C36" s="622">
        <v>1257.98</v>
      </c>
      <c r="D36" s="625">
        <f t="shared" si="0"/>
        <v>-3.1633031477720491E-3</v>
      </c>
      <c r="E36" s="624"/>
    </row>
    <row r="37" spans="1:7" ht="15.75" customHeight="1" x14ac:dyDescent="0.3">
      <c r="C37" s="622">
        <v>1261.3800000000001</v>
      </c>
      <c r="D37" s="625">
        <f t="shared" si="0"/>
        <v>-4.6910708003037953E-4</v>
      </c>
      <c r="E37" s="624"/>
    </row>
    <row r="38" spans="1:7" ht="15.75" customHeight="1" x14ac:dyDescent="0.3">
      <c r="C38" s="622">
        <v>1258.93</v>
      </c>
      <c r="D38" s="625">
        <f t="shared" si="0"/>
        <v>-2.4105130700206845E-3</v>
      </c>
      <c r="E38" s="624"/>
    </row>
    <row r="39" spans="1:7" ht="15.75" customHeight="1" x14ac:dyDescent="0.3">
      <c r="C39" s="622">
        <v>1248</v>
      </c>
      <c r="D39" s="625">
        <f t="shared" si="0"/>
        <v>-1.1071561017201812E-2</v>
      </c>
      <c r="E39" s="624"/>
    </row>
    <row r="40" spans="1:7" ht="15.75" customHeight="1" x14ac:dyDescent="0.3">
      <c r="C40" s="622">
        <v>1275.56</v>
      </c>
      <c r="D40" s="625">
        <f t="shared" si="0"/>
        <v>1.0767275343668271E-2</v>
      </c>
      <c r="E40" s="624"/>
    </row>
    <row r="41" spans="1:7" ht="15.75" customHeight="1" x14ac:dyDescent="0.3">
      <c r="C41" s="622">
        <v>1255.3599999999999</v>
      </c>
      <c r="D41" s="625">
        <f t="shared" si="0"/>
        <v>-5.2394189411494917E-3</v>
      </c>
      <c r="E41" s="624"/>
    </row>
    <row r="42" spans="1:7" ht="15.75" customHeight="1" x14ac:dyDescent="0.3">
      <c r="C42" s="622">
        <v>1274.1300000000001</v>
      </c>
      <c r="D42" s="625">
        <f t="shared" si="0"/>
        <v>9.6341281740006113E-3</v>
      </c>
      <c r="E42" s="624"/>
    </row>
    <row r="43" spans="1:7" ht="16.5" customHeight="1" thickBot="1" x14ac:dyDescent="0.35">
      <c r="C43" s="626">
        <v>1255.8699999999999</v>
      </c>
      <c r="D43" s="627">
        <f t="shared" si="0"/>
        <v>-4.835289530988259E-3</v>
      </c>
      <c r="E43" s="624"/>
    </row>
    <row r="44" spans="1:7" ht="16.5" customHeight="1" thickBot="1" x14ac:dyDescent="0.35">
      <c r="C44" s="628"/>
      <c r="D44" s="624"/>
      <c r="E44" s="629"/>
    </row>
    <row r="45" spans="1:7" ht="16.5" customHeight="1" thickBot="1" x14ac:dyDescent="0.35">
      <c r="B45" s="630" t="s">
        <v>41</v>
      </c>
      <c r="C45" s="631">
        <f>SUM(C24:C44)</f>
        <v>25239.440000000002</v>
      </c>
      <c r="D45" s="632"/>
      <c r="E45" s="628"/>
    </row>
    <row r="46" spans="1:7" ht="17.25" customHeight="1" thickBot="1" x14ac:dyDescent="0.35">
      <c r="B46" s="630" t="s">
        <v>42</v>
      </c>
      <c r="C46" s="633">
        <f>AVERAGE(C24:C44)</f>
        <v>1261.9720000000002</v>
      </c>
      <c r="E46" s="634"/>
    </row>
    <row r="47" spans="1:7" ht="17.25" customHeight="1" thickBot="1" x14ac:dyDescent="0.35">
      <c r="A47" s="612"/>
      <c r="B47" s="635"/>
      <c r="D47" s="636"/>
      <c r="E47" s="634"/>
    </row>
    <row r="48" spans="1:7" ht="33.75" customHeight="1" thickBot="1" x14ac:dyDescent="0.35">
      <c r="B48" s="637" t="s">
        <v>42</v>
      </c>
      <c r="C48" s="620" t="s">
        <v>43</v>
      </c>
      <c r="D48" s="638"/>
      <c r="G48" s="636"/>
    </row>
    <row r="49" spans="1:6" ht="17.25" customHeight="1" thickBot="1" x14ac:dyDescent="0.35">
      <c r="B49" s="860">
        <f>C46</f>
        <v>1261.9720000000002</v>
      </c>
      <c r="C49" s="639">
        <f>-IF(C46&lt;=80,10%,IF(C46&lt;250,7.5%,5%))</f>
        <v>-0.05</v>
      </c>
      <c r="D49" s="640">
        <f>IF(C46&lt;=80,C46*0.9,IF(C46&lt;250,C46*0.925,C46*0.95))</f>
        <v>1198.8734000000002</v>
      </c>
    </row>
    <row r="50" spans="1:6" ht="17.25" customHeight="1" thickBot="1" x14ac:dyDescent="0.35">
      <c r="B50" s="861"/>
      <c r="C50" s="641">
        <f>IF(C46&lt;=80, 10%, IF(C46&lt;250, 7.5%, 5%))</f>
        <v>0.05</v>
      </c>
      <c r="D50" s="640">
        <f>IF(C46&lt;=80, C46*1.1, IF(C46&lt;250, C46*1.075, C46*1.05))</f>
        <v>1325.0706000000002</v>
      </c>
    </row>
    <row r="51" spans="1:6" ht="16.5" customHeight="1" thickBot="1" x14ac:dyDescent="0.35">
      <c r="A51" s="642"/>
      <c r="B51" s="643"/>
      <c r="C51" s="612"/>
      <c r="D51" s="644"/>
      <c r="E51" s="612"/>
      <c r="F51" s="617"/>
    </row>
    <row r="52" spans="1:6" ht="16.5" customHeight="1" x14ac:dyDescent="0.3">
      <c r="A52" s="612"/>
      <c r="B52" s="645" t="s">
        <v>25</v>
      </c>
      <c r="C52" s="645"/>
      <c r="D52" s="646" t="s">
        <v>26</v>
      </c>
      <c r="E52" s="647"/>
      <c r="F52" s="646" t="s">
        <v>27</v>
      </c>
    </row>
    <row r="53" spans="1:6" ht="34.5" customHeight="1" x14ac:dyDescent="0.3">
      <c r="A53" s="614" t="s">
        <v>28</v>
      </c>
      <c r="B53" s="648"/>
      <c r="C53" s="612"/>
      <c r="D53" s="648"/>
      <c r="E53" s="612"/>
      <c r="F53" s="648"/>
    </row>
    <row r="54" spans="1:6" ht="34.5" customHeight="1" x14ac:dyDescent="0.3">
      <c r="A54" s="614" t="s">
        <v>29</v>
      </c>
      <c r="B54" s="649"/>
      <c r="C54" s="650"/>
      <c r="D54" s="649"/>
      <c r="E54" s="612"/>
      <c r="F54" s="65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0" zoomScale="60" zoomScaleNormal="40" zoomScalePageLayoutView="60" workbookViewId="0">
      <selection activeCell="H69" sqref="H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96" t="s">
        <v>44</v>
      </c>
      <c r="B1" s="896"/>
      <c r="C1" s="896"/>
      <c r="D1" s="896"/>
      <c r="E1" s="896"/>
      <c r="F1" s="896"/>
      <c r="G1" s="896"/>
      <c r="H1" s="896"/>
      <c r="I1" s="896"/>
    </row>
    <row r="2" spans="1:9" ht="18.75" customHeight="1" x14ac:dyDescent="0.25">
      <c r="A2" s="896"/>
      <c r="B2" s="896"/>
      <c r="C2" s="896"/>
      <c r="D2" s="896"/>
      <c r="E2" s="896"/>
      <c r="F2" s="896"/>
      <c r="G2" s="896"/>
      <c r="H2" s="896"/>
      <c r="I2" s="896"/>
    </row>
    <row r="3" spans="1:9" ht="18.75" customHeight="1" x14ac:dyDescent="0.25">
      <c r="A3" s="896"/>
      <c r="B3" s="896"/>
      <c r="C3" s="896"/>
      <c r="D3" s="896"/>
      <c r="E3" s="896"/>
      <c r="F3" s="896"/>
      <c r="G3" s="896"/>
      <c r="H3" s="896"/>
      <c r="I3" s="896"/>
    </row>
    <row r="4" spans="1:9" ht="18.75" customHeight="1" x14ac:dyDescent="0.25">
      <c r="A4" s="896"/>
      <c r="B4" s="896"/>
      <c r="C4" s="896"/>
      <c r="D4" s="896"/>
      <c r="E4" s="896"/>
      <c r="F4" s="896"/>
      <c r="G4" s="896"/>
      <c r="H4" s="896"/>
      <c r="I4" s="896"/>
    </row>
    <row r="5" spans="1:9" ht="18.75" customHeight="1" x14ac:dyDescent="0.25">
      <c r="A5" s="896"/>
      <c r="B5" s="896"/>
      <c r="C5" s="896"/>
      <c r="D5" s="896"/>
      <c r="E5" s="896"/>
      <c r="F5" s="896"/>
      <c r="G5" s="896"/>
      <c r="H5" s="896"/>
      <c r="I5" s="896"/>
    </row>
    <row r="6" spans="1:9" ht="18.75" customHeight="1" x14ac:dyDescent="0.25">
      <c r="A6" s="896"/>
      <c r="B6" s="896"/>
      <c r="C6" s="896"/>
      <c r="D6" s="896"/>
      <c r="E6" s="896"/>
      <c r="F6" s="896"/>
      <c r="G6" s="896"/>
      <c r="H6" s="896"/>
      <c r="I6" s="896"/>
    </row>
    <row r="7" spans="1:9" ht="18.75" customHeight="1" x14ac:dyDescent="0.25">
      <c r="A7" s="896"/>
      <c r="B7" s="896"/>
      <c r="C7" s="896"/>
      <c r="D7" s="896"/>
      <c r="E7" s="896"/>
      <c r="F7" s="896"/>
      <c r="G7" s="896"/>
      <c r="H7" s="896"/>
      <c r="I7" s="896"/>
    </row>
    <row r="8" spans="1:9" x14ac:dyDescent="0.25">
      <c r="A8" s="897" t="s">
        <v>45</v>
      </c>
      <c r="B8" s="897"/>
      <c r="C8" s="897"/>
      <c r="D8" s="897"/>
      <c r="E8" s="897"/>
      <c r="F8" s="897"/>
      <c r="G8" s="897"/>
      <c r="H8" s="897"/>
      <c r="I8" s="897"/>
    </row>
    <row r="9" spans="1:9" x14ac:dyDescent="0.25">
      <c r="A9" s="897"/>
      <c r="B9" s="897"/>
      <c r="C9" s="897"/>
      <c r="D9" s="897"/>
      <c r="E9" s="897"/>
      <c r="F9" s="897"/>
      <c r="G9" s="897"/>
      <c r="H9" s="897"/>
      <c r="I9" s="897"/>
    </row>
    <row r="10" spans="1:9" x14ac:dyDescent="0.25">
      <c r="A10" s="897"/>
      <c r="B10" s="897"/>
      <c r="C10" s="897"/>
      <c r="D10" s="897"/>
      <c r="E10" s="897"/>
      <c r="F10" s="897"/>
      <c r="G10" s="897"/>
      <c r="H10" s="897"/>
      <c r="I10" s="897"/>
    </row>
    <row r="11" spans="1:9" x14ac:dyDescent="0.25">
      <c r="A11" s="897"/>
      <c r="B11" s="897"/>
      <c r="C11" s="897"/>
      <c r="D11" s="897"/>
      <c r="E11" s="897"/>
      <c r="F11" s="897"/>
      <c r="G11" s="897"/>
      <c r="H11" s="897"/>
      <c r="I11" s="897"/>
    </row>
    <row r="12" spans="1:9" x14ac:dyDescent="0.25">
      <c r="A12" s="897"/>
      <c r="B12" s="897"/>
      <c r="C12" s="897"/>
      <c r="D12" s="897"/>
      <c r="E12" s="897"/>
      <c r="F12" s="897"/>
      <c r="G12" s="897"/>
      <c r="H12" s="897"/>
      <c r="I12" s="897"/>
    </row>
    <row r="13" spans="1:9" x14ac:dyDescent="0.25">
      <c r="A13" s="897"/>
      <c r="B13" s="897"/>
      <c r="C13" s="897"/>
      <c r="D13" s="897"/>
      <c r="E13" s="897"/>
      <c r="F13" s="897"/>
      <c r="G13" s="897"/>
      <c r="H13" s="897"/>
      <c r="I13" s="897"/>
    </row>
    <row r="14" spans="1:9" x14ac:dyDescent="0.25">
      <c r="A14" s="897"/>
      <c r="B14" s="897"/>
      <c r="C14" s="897"/>
      <c r="D14" s="897"/>
      <c r="E14" s="897"/>
      <c r="F14" s="897"/>
      <c r="G14" s="897"/>
      <c r="H14" s="897"/>
      <c r="I14" s="897"/>
    </row>
    <row r="15" spans="1:9" ht="19.5" customHeight="1" x14ac:dyDescent="0.3">
      <c r="A15" s="57"/>
    </row>
    <row r="16" spans="1:9" ht="19.5" customHeight="1" x14ac:dyDescent="0.3">
      <c r="A16" s="869" t="s">
        <v>30</v>
      </c>
      <c r="B16" s="870"/>
      <c r="C16" s="870"/>
      <c r="D16" s="870"/>
      <c r="E16" s="870"/>
      <c r="F16" s="870"/>
      <c r="G16" s="870"/>
      <c r="H16" s="871"/>
    </row>
    <row r="17" spans="1:14" ht="20.25" customHeight="1" x14ac:dyDescent="0.25">
      <c r="A17" s="872" t="s">
        <v>46</v>
      </c>
      <c r="B17" s="872"/>
      <c r="C17" s="872"/>
      <c r="D17" s="872"/>
      <c r="E17" s="872"/>
      <c r="F17" s="872"/>
      <c r="G17" s="872"/>
      <c r="H17" s="872"/>
    </row>
    <row r="18" spans="1:14" ht="26.25" customHeight="1" x14ac:dyDescent="0.4">
      <c r="A18" s="59" t="s">
        <v>32</v>
      </c>
      <c r="B18" s="868" t="s">
        <v>5</v>
      </c>
      <c r="C18" s="868"/>
      <c r="D18" s="224"/>
      <c r="E18" s="60"/>
      <c r="F18" s="61"/>
      <c r="G18" s="61"/>
      <c r="H18" s="61"/>
    </row>
    <row r="19" spans="1:14" ht="26.25" customHeight="1" x14ac:dyDescent="0.4">
      <c r="A19" s="59" t="s">
        <v>33</v>
      </c>
      <c r="B19" s="654" t="s">
        <v>139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34</v>
      </c>
      <c r="B20" s="873" t="s">
        <v>124</v>
      </c>
      <c r="C20" s="873"/>
      <c r="D20" s="61"/>
      <c r="E20" s="61"/>
      <c r="F20" s="61"/>
      <c r="G20" s="61"/>
      <c r="H20" s="61"/>
    </row>
    <row r="21" spans="1:14" ht="26.25" customHeight="1" x14ac:dyDescent="0.4">
      <c r="A21" s="59" t="s">
        <v>35</v>
      </c>
      <c r="B21" s="873" t="s">
        <v>130</v>
      </c>
      <c r="C21" s="873"/>
      <c r="D21" s="873"/>
      <c r="E21" s="873"/>
      <c r="F21" s="873"/>
      <c r="G21" s="873"/>
      <c r="H21" s="873"/>
      <c r="I21" s="62"/>
    </row>
    <row r="22" spans="1:14" ht="26.25" customHeight="1" x14ac:dyDescent="0.4">
      <c r="A22" s="59" t="s">
        <v>36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37</v>
      </c>
      <c r="B23" s="63">
        <v>42535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4"/>
    </row>
    <row r="25" spans="1:14" ht="18.75" x14ac:dyDescent="0.3">
      <c r="A25" s="65" t="s">
        <v>1</v>
      </c>
      <c r="B25" s="64"/>
    </row>
    <row r="26" spans="1:14" ht="26.25" customHeight="1" x14ac:dyDescent="0.4">
      <c r="A26" s="66" t="s">
        <v>4</v>
      </c>
      <c r="B26" s="868" t="s">
        <v>124</v>
      </c>
      <c r="C26" s="868"/>
    </row>
    <row r="27" spans="1:14" ht="26.25" customHeight="1" x14ac:dyDescent="0.4">
      <c r="A27" s="67" t="s">
        <v>47</v>
      </c>
      <c r="B27" s="874" t="s">
        <v>128</v>
      </c>
      <c r="C27" s="874"/>
    </row>
    <row r="28" spans="1:14" ht="27" customHeight="1" x14ac:dyDescent="0.4">
      <c r="A28" s="67" t="s">
        <v>6</v>
      </c>
      <c r="B28" s="68">
        <v>99.6</v>
      </c>
    </row>
    <row r="29" spans="1:14" s="14" customFormat="1" ht="27" customHeight="1" x14ac:dyDescent="0.4">
      <c r="A29" s="67" t="s">
        <v>48</v>
      </c>
      <c r="B29" s="69">
        <v>0</v>
      </c>
      <c r="C29" s="875" t="s">
        <v>49</v>
      </c>
      <c r="D29" s="876"/>
      <c r="E29" s="876"/>
      <c r="F29" s="876"/>
      <c r="G29" s="877"/>
      <c r="I29" s="70"/>
      <c r="J29" s="70"/>
      <c r="K29" s="70"/>
      <c r="L29" s="70"/>
    </row>
    <row r="30" spans="1:14" s="14" customFormat="1" ht="19.5" customHeight="1" x14ac:dyDescent="0.3">
      <c r="A30" s="67" t="s">
        <v>50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">
      <c r="A31" s="67" t="s">
        <v>51</v>
      </c>
      <c r="B31" s="74">
        <v>1</v>
      </c>
      <c r="C31" s="878" t="s">
        <v>52</v>
      </c>
      <c r="D31" s="879"/>
      <c r="E31" s="879"/>
      <c r="F31" s="879"/>
      <c r="G31" s="879"/>
      <c r="H31" s="880"/>
      <c r="I31" s="70"/>
      <c r="J31" s="70"/>
      <c r="K31" s="70"/>
      <c r="L31" s="70"/>
    </row>
    <row r="32" spans="1:14" s="14" customFormat="1" ht="27" customHeight="1" x14ac:dyDescent="0.4">
      <c r="A32" s="67" t="s">
        <v>53</v>
      </c>
      <c r="B32" s="74">
        <v>1</v>
      </c>
      <c r="C32" s="878" t="s">
        <v>54</v>
      </c>
      <c r="D32" s="879"/>
      <c r="E32" s="879"/>
      <c r="F32" s="879"/>
      <c r="G32" s="879"/>
      <c r="H32" s="880"/>
      <c r="I32" s="70"/>
      <c r="J32" s="70"/>
      <c r="K32" s="70"/>
      <c r="L32" s="75"/>
      <c r="M32" s="75"/>
      <c r="N32" s="76"/>
    </row>
    <row r="33" spans="1:14" s="14" customFormat="1" ht="17.25" customHeight="1" x14ac:dyDescent="0.3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.75" x14ac:dyDescent="0.3">
      <c r="A34" s="67" t="s">
        <v>55</v>
      </c>
      <c r="B34" s="79">
        <f>B31/B32</f>
        <v>1</v>
      </c>
      <c r="C34" s="58" t="s">
        <v>56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">
      <c r="A36" s="80" t="s">
        <v>57</v>
      </c>
      <c r="B36" s="81">
        <v>100</v>
      </c>
      <c r="C36" s="58"/>
      <c r="D36" s="881" t="s">
        <v>58</v>
      </c>
      <c r="E36" s="882"/>
      <c r="F36" s="881" t="s">
        <v>59</v>
      </c>
      <c r="G36" s="883"/>
      <c r="J36" s="70"/>
      <c r="K36" s="70"/>
      <c r="L36" s="75"/>
      <c r="M36" s="75"/>
      <c r="N36" s="76"/>
    </row>
    <row r="37" spans="1:14" s="14" customFormat="1" ht="27" customHeight="1" x14ac:dyDescent="0.4">
      <c r="A37" s="82" t="s">
        <v>60</v>
      </c>
      <c r="B37" s="83">
        <v>1</v>
      </c>
      <c r="C37" s="84" t="s">
        <v>61</v>
      </c>
      <c r="D37" s="85" t="s">
        <v>62</v>
      </c>
      <c r="E37" s="86" t="s">
        <v>63</v>
      </c>
      <c r="F37" s="85" t="s">
        <v>62</v>
      </c>
      <c r="G37" s="87" t="s">
        <v>63</v>
      </c>
      <c r="I37" s="88" t="s">
        <v>64</v>
      </c>
      <c r="J37" s="70"/>
      <c r="K37" s="70"/>
      <c r="L37" s="75"/>
      <c r="M37" s="75"/>
      <c r="N37" s="76"/>
    </row>
    <row r="38" spans="1:14" s="14" customFormat="1" ht="26.25" customHeight="1" x14ac:dyDescent="0.4">
      <c r="A38" s="82" t="s">
        <v>65</v>
      </c>
      <c r="B38" s="83">
        <v>1</v>
      </c>
      <c r="C38" s="89">
        <v>1</v>
      </c>
      <c r="D38" s="90">
        <v>3927277</v>
      </c>
      <c r="E38" s="91">
        <f>IF(ISBLANK(D38),"-",$D$48/$D$45*D38)</f>
        <v>3830527.452859404</v>
      </c>
      <c r="F38" s="90">
        <v>4275540</v>
      </c>
      <c r="G38" s="92">
        <f>IF(ISBLANK(F38),"-",$D$48/$F$45*F38)</f>
        <v>3873850.7328807618</v>
      </c>
      <c r="I38" s="93"/>
      <c r="J38" s="70"/>
      <c r="K38" s="70"/>
      <c r="L38" s="75"/>
      <c r="M38" s="75"/>
      <c r="N38" s="76"/>
    </row>
    <row r="39" spans="1:14" s="14" customFormat="1" ht="26.25" customHeight="1" x14ac:dyDescent="0.4">
      <c r="A39" s="82" t="s">
        <v>66</v>
      </c>
      <c r="B39" s="83">
        <v>1</v>
      </c>
      <c r="C39" s="94">
        <v>2</v>
      </c>
      <c r="D39" s="95">
        <v>3922488</v>
      </c>
      <c r="E39" s="96">
        <f>IF(ISBLANK(D39),"-",$D$48/$D$45*D39)</f>
        <v>3825856.4311892381</v>
      </c>
      <c r="F39" s="95">
        <v>4265147</v>
      </c>
      <c r="G39" s="97">
        <f>IF(ISBLANK(F39),"-",$D$48/$F$45*F39)</f>
        <v>3864434.1607830082</v>
      </c>
      <c r="I39" s="885">
        <f>ABS((F43/D43*D42)-F42)/D42</f>
        <v>1.2330099718101086E-2</v>
      </c>
      <c r="J39" s="70"/>
      <c r="K39" s="70"/>
      <c r="L39" s="75"/>
      <c r="M39" s="75"/>
      <c r="N39" s="76"/>
    </row>
    <row r="40" spans="1:14" ht="26.25" customHeight="1" x14ac:dyDescent="0.4">
      <c r="A40" s="82" t="s">
        <v>67</v>
      </c>
      <c r="B40" s="83">
        <v>1</v>
      </c>
      <c r="C40" s="94">
        <v>3</v>
      </c>
      <c r="D40" s="95">
        <v>3910898</v>
      </c>
      <c r="E40" s="96">
        <f>IF(ISBLANK(D40),"-",$D$48/$D$45*D40)</f>
        <v>3814551.9540213072</v>
      </c>
      <c r="F40" s="95">
        <v>4264709</v>
      </c>
      <c r="G40" s="97">
        <f>IF(ISBLANK(F40),"-",$D$48/$F$45*F40)</f>
        <v>3864037.3111170004</v>
      </c>
      <c r="I40" s="885"/>
      <c r="L40" s="75"/>
      <c r="M40" s="75"/>
      <c r="N40" s="98"/>
    </row>
    <row r="41" spans="1:14" ht="27" customHeight="1" x14ac:dyDescent="0.4">
      <c r="A41" s="82" t="s">
        <v>68</v>
      </c>
      <c r="B41" s="83">
        <v>1</v>
      </c>
      <c r="C41" s="99">
        <v>4</v>
      </c>
      <c r="D41" s="100"/>
      <c r="E41" s="101" t="str">
        <f>IF(ISBLANK(D41),"-",$D$48/$D$45*D41)</f>
        <v>-</v>
      </c>
      <c r="F41" s="100"/>
      <c r="G41" s="102" t="str">
        <f>IF(ISBLANK(F41),"-",$D$48/$F$45*F41)</f>
        <v>-</v>
      </c>
      <c r="I41" s="103"/>
      <c r="L41" s="75"/>
      <c r="M41" s="75"/>
      <c r="N41" s="98"/>
    </row>
    <row r="42" spans="1:14" ht="27" customHeight="1" x14ac:dyDescent="0.4">
      <c r="A42" s="82" t="s">
        <v>69</v>
      </c>
      <c r="B42" s="83">
        <v>1</v>
      </c>
      <c r="C42" s="104" t="s">
        <v>70</v>
      </c>
      <c r="D42" s="105">
        <f>AVERAGE(D38:D41)</f>
        <v>3920221</v>
      </c>
      <c r="E42" s="106">
        <f>AVERAGE(E38:E41)</f>
        <v>3823645.2793566496</v>
      </c>
      <c r="F42" s="105">
        <f>AVERAGE(F38:F41)</f>
        <v>4268465.333333333</v>
      </c>
      <c r="G42" s="107">
        <f>AVERAGE(G38:G41)</f>
        <v>3867440.7349269236</v>
      </c>
      <c r="H42" s="108"/>
    </row>
    <row r="43" spans="1:14" ht="26.25" customHeight="1" x14ac:dyDescent="0.4">
      <c r="A43" s="82" t="s">
        <v>71</v>
      </c>
      <c r="B43" s="83">
        <v>1</v>
      </c>
      <c r="C43" s="109" t="s">
        <v>72</v>
      </c>
      <c r="D43" s="110">
        <v>16.47</v>
      </c>
      <c r="E43" s="98"/>
      <c r="F43" s="110">
        <v>17.73</v>
      </c>
      <c r="H43" s="108"/>
    </row>
    <row r="44" spans="1:14" ht="26.25" customHeight="1" x14ac:dyDescent="0.4">
      <c r="A44" s="82" t="s">
        <v>73</v>
      </c>
      <c r="B44" s="83">
        <v>1</v>
      </c>
      <c r="C44" s="111" t="s">
        <v>74</v>
      </c>
      <c r="D44" s="112">
        <f>D43*$B$34</f>
        <v>16.47</v>
      </c>
      <c r="E44" s="113"/>
      <c r="F44" s="112">
        <f>F43*$B$34</f>
        <v>17.73</v>
      </c>
      <c r="H44" s="108"/>
    </row>
    <row r="45" spans="1:14" ht="19.5" customHeight="1" x14ac:dyDescent="0.3">
      <c r="A45" s="82" t="s">
        <v>75</v>
      </c>
      <c r="B45" s="114">
        <f>(B44/B43)*(B42/B41)*(B40/B39)*(B38/B37)*B36</f>
        <v>100</v>
      </c>
      <c r="C45" s="111" t="s">
        <v>76</v>
      </c>
      <c r="D45" s="115">
        <f>D44*$B$30/100</f>
        <v>16.404119999999999</v>
      </c>
      <c r="E45" s="116"/>
      <c r="F45" s="115">
        <f>F44*$B$30/100</f>
        <v>17.659079999999999</v>
      </c>
      <c r="H45" s="108"/>
    </row>
    <row r="46" spans="1:14" ht="19.5" customHeight="1" x14ac:dyDescent="0.3">
      <c r="A46" s="886" t="s">
        <v>77</v>
      </c>
      <c r="B46" s="887"/>
      <c r="C46" s="111" t="s">
        <v>78</v>
      </c>
      <c r="D46" s="117">
        <f>D45/$B$45</f>
        <v>0.1640412</v>
      </c>
      <c r="E46" s="118"/>
      <c r="F46" s="119">
        <f>F45/$B$45</f>
        <v>0.17659079999999999</v>
      </c>
      <c r="H46" s="108"/>
    </row>
    <row r="47" spans="1:14" ht="27" customHeight="1" x14ac:dyDescent="0.4">
      <c r="A47" s="888"/>
      <c r="B47" s="889"/>
      <c r="C47" s="120" t="s">
        <v>79</v>
      </c>
      <c r="D47" s="121">
        <v>0.16</v>
      </c>
      <c r="E47" s="122"/>
      <c r="F47" s="118"/>
      <c r="H47" s="108"/>
    </row>
    <row r="48" spans="1:14" ht="18.75" x14ac:dyDescent="0.3">
      <c r="C48" s="123" t="s">
        <v>80</v>
      </c>
      <c r="D48" s="115">
        <f>D47*$B$45</f>
        <v>16</v>
      </c>
      <c r="F48" s="124"/>
      <c r="H48" s="108"/>
    </row>
    <row r="49" spans="1:12" ht="19.5" customHeight="1" x14ac:dyDescent="0.3">
      <c r="C49" s="125" t="s">
        <v>81</v>
      </c>
      <c r="D49" s="126">
        <f>D48/B34</f>
        <v>16</v>
      </c>
      <c r="F49" s="124"/>
      <c r="H49" s="108"/>
    </row>
    <row r="50" spans="1:12" ht="18.75" x14ac:dyDescent="0.3">
      <c r="C50" s="80" t="s">
        <v>82</v>
      </c>
      <c r="D50" s="127">
        <f>AVERAGE(E38:E41,G38:G41)</f>
        <v>3845543.0071417871</v>
      </c>
      <c r="F50" s="128"/>
      <c r="H50" s="108"/>
    </row>
    <row r="51" spans="1:12" ht="18.75" x14ac:dyDescent="0.3">
      <c r="C51" s="82" t="s">
        <v>83</v>
      </c>
      <c r="D51" s="129">
        <f>STDEV(E38:E41,G38:G41)/D50</f>
        <v>6.4474677904413982E-3</v>
      </c>
      <c r="F51" s="128"/>
      <c r="H51" s="108"/>
    </row>
    <row r="52" spans="1:12" ht="19.5" customHeight="1" x14ac:dyDescent="0.3">
      <c r="C52" s="130" t="s">
        <v>19</v>
      </c>
      <c r="D52" s="131">
        <f>COUNT(E38:E41,G38:G41)</f>
        <v>6</v>
      </c>
      <c r="F52" s="128"/>
    </row>
    <row r="54" spans="1:12" ht="18.75" x14ac:dyDescent="0.3">
      <c r="A54" s="132" t="s">
        <v>1</v>
      </c>
      <c r="B54" s="133" t="s">
        <v>84</v>
      </c>
    </row>
    <row r="55" spans="1:12" ht="18.75" x14ac:dyDescent="0.3">
      <c r="A55" s="58" t="s">
        <v>85</v>
      </c>
      <c r="B55" s="134" t="str">
        <f>B21</f>
        <v>RIFAMPICIN 150mg</v>
      </c>
    </row>
    <row r="56" spans="1:12" ht="26.25" customHeight="1" x14ac:dyDescent="0.4">
      <c r="A56" s="135" t="s">
        <v>86</v>
      </c>
      <c r="B56" s="136">
        <v>150</v>
      </c>
      <c r="C56" s="58" t="str">
        <f>B20</f>
        <v>RIFAMPICIN</v>
      </c>
      <c r="H56" s="137"/>
    </row>
    <row r="57" spans="1:12" ht="18.75" x14ac:dyDescent="0.3">
      <c r="A57" s="134" t="s">
        <v>87</v>
      </c>
      <c r="B57" s="225">
        <f>Uniformity!C46</f>
        <v>1261.9720000000002</v>
      </c>
      <c r="H57" s="137"/>
    </row>
    <row r="58" spans="1:12" ht="19.5" customHeight="1" x14ac:dyDescent="0.3">
      <c r="H58" s="137"/>
    </row>
    <row r="59" spans="1:12" s="14" customFormat="1" ht="27" customHeight="1" x14ac:dyDescent="0.4">
      <c r="A59" s="80" t="s">
        <v>88</v>
      </c>
      <c r="B59" s="81">
        <v>200</v>
      </c>
      <c r="C59" s="58"/>
      <c r="D59" s="138" t="s">
        <v>89</v>
      </c>
      <c r="E59" s="139" t="s">
        <v>61</v>
      </c>
      <c r="F59" s="139" t="s">
        <v>62</v>
      </c>
      <c r="G59" s="139" t="s">
        <v>90</v>
      </c>
      <c r="H59" s="84" t="s">
        <v>91</v>
      </c>
      <c r="L59" s="70"/>
    </row>
    <row r="60" spans="1:12" s="14" customFormat="1" ht="26.25" customHeight="1" x14ac:dyDescent="0.4">
      <c r="A60" s="82" t="s">
        <v>92</v>
      </c>
      <c r="B60" s="83">
        <v>4</v>
      </c>
      <c r="C60" s="890" t="s">
        <v>93</v>
      </c>
      <c r="D60" s="893">
        <v>1275.26</v>
      </c>
      <c r="E60" s="140">
        <v>1</v>
      </c>
      <c r="F60" s="141"/>
      <c r="G60" s="226" t="str">
        <f>IF(ISBLANK(F60),"-",(F60/$D$50*$D$47*$B$68)*($B$57/$D$60))</f>
        <v>-</v>
      </c>
      <c r="H60" s="142" t="str">
        <f t="shared" ref="H60:H71" si="0">IF(ISBLANK(F60),"-",G60/$B$56)</f>
        <v>-</v>
      </c>
      <c r="L60" s="70"/>
    </row>
    <row r="61" spans="1:12" s="14" customFormat="1" ht="26.25" customHeight="1" x14ac:dyDescent="0.4">
      <c r="A61" s="82" t="s">
        <v>94</v>
      </c>
      <c r="B61" s="83">
        <v>20</v>
      </c>
      <c r="C61" s="891"/>
      <c r="D61" s="894"/>
      <c r="E61" s="143">
        <v>2</v>
      </c>
      <c r="F61" s="95">
        <v>3463846</v>
      </c>
      <c r="G61" s="227">
        <f>IF(ISBLANK(F61),"-",(F61/$D$50*$D$47*$B$68)*($B$57/$D$60))</f>
        <v>142.6171871817597</v>
      </c>
      <c r="H61" s="144">
        <f t="shared" si="0"/>
        <v>0.95078124787839802</v>
      </c>
      <c r="L61" s="70"/>
    </row>
    <row r="62" spans="1:12" s="14" customFormat="1" ht="26.25" customHeight="1" x14ac:dyDescent="0.4">
      <c r="A62" s="82" t="s">
        <v>95</v>
      </c>
      <c r="B62" s="83">
        <v>1</v>
      </c>
      <c r="C62" s="891"/>
      <c r="D62" s="894"/>
      <c r="E62" s="143">
        <v>3</v>
      </c>
      <c r="F62" s="145">
        <v>3431839</v>
      </c>
      <c r="G62" s="227">
        <f>IF(ISBLANK(F62),"-",(F62/$D$50*$D$47*$B$68)*($B$57/$D$60))</f>
        <v>141.29936060686964</v>
      </c>
      <c r="H62" s="144">
        <f t="shared" si="0"/>
        <v>0.94199573737913089</v>
      </c>
      <c r="L62" s="70"/>
    </row>
    <row r="63" spans="1:12" ht="27" customHeight="1" x14ac:dyDescent="0.4">
      <c r="A63" s="82" t="s">
        <v>96</v>
      </c>
      <c r="B63" s="83">
        <v>1</v>
      </c>
      <c r="C63" s="892"/>
      <c r="D63" s="895"/>
      <c r="E63" s="146">
        <v>4</v>
      </c>
      <c r="F63" s="147"/>
      <c r="G63" s="227" t="str">
        <f>IF(ISBLANK(F63),"-",(F63/$D$50*$D$47*$B$68)*($B$57/$D$60))</f>
        <v>-</v>
      </c>
      <c r="H63" s="144" t="str">
        <f t="shared" si="0"/>
        <v>-</v>
      </c>
    </row>
    <row r="64" spans="1:12" ht="26.25" customHeight="1" x14ac:dyDescent="0.4">
      <c r="A64" s="82" t="s">
        <v>97</v>
      </c>
      <c r="B64" s="83">
        <v>1</v>
      </c>
      <c r="C64" s="890" t="s">
        <v>98</v>
      </c>
      <c r="D64" s="893">
        <v>1262.27</v>
      </c>
      <c r="E64" s="140">
        <v>1</v>
      </c>
      <c r="F64" s="141">
        <v>3532676</v>
      </c>
      <c r="G64" s="228">
        <f>IF(ISBLANK(F64),"-",(F64/$D$50*$D$47*$B$68)*($B$57/$D$64))</f>
        <v>146.94796506229039</v>
      </c>
      <c r="H64" s="148">
        <f t="shared" si="0"/>
        <v>0.97965310041526932</v>
      </c>
    </row>
    <row r="65" spans="1:8" ht="26.25" customHeight="1" x14ac:dyDescent="0.4">
      <c r="A65" s="82" t="s">
        <v>99</v>
      </c>
      <c r="B65" s="83">
        <v>1</v>
      </c>
      <c r="C65" s="891"/>
      <c r="D65" s="894"/>
      <c r="E65" s="143">
        <v>2</v>
      </c>
      <c r="F65" s="95">
        <v>3549170</v>
      </c>
      <c r="G65" s="229">
        <f>IF(ISBLANK(F65),"-",(F65/$D$50*$D$47*$B$68)*($B$57/$D$64))</f>
        <v>147.63406243882238</v>
      </c>
      <c r="H65" s="149">
        <f t="shared" si="0"/>
        <v>0.98422708292548255</v>
      </c>
    </row>
    <row r="66" spans="1:8" ht="26.25" customHeight="1" x14ac:dyDescent="0.4">
      <c r="A66" s="82" t="s">
        <v>100</v>
      </c>
      <c r="B66" s="83">
        <v>1</v>
      </c>
      <c r="C66" s="891"/>
      <c r="D66" s="894"/>
      <c r="E66" s="143">
        <v>3</v>
      </c>
      <c r="F66" s="95">
        <v>3511892</v>
      </c>
      <c r="G66" s="229">
        <f>IF(ISBLANK(F66),"-",(F66/$D$50*$D$47*$B$68)*($B$57/$D$64))</f>
        <v>146.0834174768751</v>
      </c>
      <c r="H66" s="149">
        <f t="shared" si="0"/>
        <v>0.97388944984583403</v>
      </c>
    </row>
    <row r="67" spans="1:8" ht="27" customHeight="1" x14ac:dyDescent="0.4">
      <c r="A67" s="82" t="s">
        <v>101</v>
      </c>
      <c r="B67" s="83">
        <v>1</v>
      </c>
      <c r="C67" s="892"/>
      <c r="D67" s="895"/>
      <c r="E67" s="146">
        <v>4</v>
      </c>
      <c r="F67" s="147"/>
      <c r="G67" s="230" t="str">
        <f>IF(ISBLANK(F67),"-",(F67/$D$50*$D$47*$B$68)*($B$57/$D$64))</f>
        <v>-</v>
      </c>
      <c r="H67" s="150" t="str">
        <f t="shared" si="0"/>
        <v>-</v>
      </c>
    </row>
    <row r="68" spans="1:8" ht="26.25" customHeight="1" x14ac:dyDescent="0.4">
      <c r="A68" s="82" t="s">
        <v>102</v>
      </c>
      <c r="B68" s="151">
        <f>(B67/B66)*(B65/B64)*(B63/B62)*(B61/B60)*B59</f>
        <v>1000</v>
      </c>
      <c r="C68" s="890" t="s">
        <v>103</v>
      </c>
      <c r="D68" s="893">
        <v>1247.8900000000001</v>
      </c>
      <c r="E68" s="140">
        <v>1</v>
      </c>
      <c r="F68" s="141">
        <v>3536538</v>
      </c>
      <c r="G68" s="228">
        <f>IF(ISBLANK(F68),"-",(F68/$D$50*$D$47*$B$68)*($B$57/$D$68))</f>
        <v>148.80381081361494</v>
      </c>
      <c r="H68" s="144">
        <f t="shared" si="0"/>
        <v>0.99202540542409967</v>
      </c>
    </row>
    <row r="69" spans="1:8" ht="27" customHeight="1" x14ac:dyDescent="0.4">
      <c r="A69" s="130" t="s">
        <v>104</v>
      </c>
      <c r="B69" s="152">
        <f>(D47*B68)/B56*B57</f>
        <v>1346.1034666666669</v>
      </c>
      <c r="C69" s="891"/>
      <c r="D69" s="894"/>
      <c r="E69" s="143">
        <v>2</v>
      </c>
      <c r="F69" s="95">
        <v>3536286</v>
      </c>
      <c r="G69" s="229">
        <f>IF(ISBLANK(F69),"-",(F69/$D$50*$D$47*$B$68)*($B$57/$D$68))</f>
        <v>148.79320763041002</v>
      </c>
      <c r="H69" s="144">
        <f t="shared" si="0"/>
        <v>0.99195471753606679</v>
      </c>
    </row>
    <row r="70" spans="1:8" ht="26.25" customHeight="1" x14ac:dyDescent="0.4">
      <c r="A70" s="903" t="s">
        <v>77</v>
      </c>
      <c r="B70" s="904"/>
      <c r="C70" s="891"/>
      <c r="D70" s="894"/>
      <c r="E70" s="143">
        <v>3</v>
      </c>
      <c r="F70" s="95">
        <v>3455834</v>
      </c>
      <c r="G70" s="229">
        <f>IF(ISBLANK(F70),"-",(F70/$D$50*$D$47*$B$68)*($B$57/$D$68))</f>
        <v>145.40809931612728</v>
      </c>
      <c r="H70" s="144">
        <f t="shared" si="0"/>
        <v>0.96938732877418188</v>
      </c>
    </row>
    <row r="71" spans="1:8" ht="27" customHeight="1" x14ac:dyDescent="0.4">
      <c r="A71" s="905"/>
      <c r="B71" s="906"/>
      <c r="C71" s="902"/>
      <c r="D71" s="895"/>
      <c r="E71" s="146">
        <v>4</v>
      </c>
      <c r="F71" s="147"/>
      <c r="G71" s="230" t="str">
        <f>IF(ISBLANK(F71),"-",(F71/$D$50*$D$47*$B$68)*($B$57/$D$68))</f>
        <v>-</v>
      </c>
      <c r="H71" s="153" t="str">
        <f t="shared" si="0"/>
        <v>-</v>
      </c>
    </row>
    <row r="72" spans="1:8" ht="26.25" customHeight="1" x14ac:dyDescent="0.4">
      <c r="A72" s="154"/>
      <c r="B72" s="154"/>
      <c r="C72" s="154"/>
      <c r="D72" s="154"/>
      <c r="E72" s="154"/>
      <c r="F72" s="156" t="s">
        <v>70</v>
      </c>
      <c r="G72" s="235">
        <f>AVERAGE(G60:G71)</f>
        <v>145.94838881584619</v>
      </c>
      <c r="H72" s="157">
        <f>AVERAGE(H60:H71)</f>
        <v>0.97298925877230791</v>
      </c>
    </row>
    <row r="73" spans="1:8" ht="26.25" customHeight="1" x14ac:dyDescent="0.4">
      <c r="C73" s="154"/>
      <c r="D73" s="154"/>
      <c r="E73" s="154"/>
      <c r="F73" s="158" t="s">
        <v>83</v>
      </c>
      <c r="G73" s="231">
        <f>STDEV(G60:G71)/G72</f>
        <v>1.8872523408662658E-2</v>
      </c>
      <c r="H73" s="231">
        <f>STDEV(H60:H71)/H72</f>
        <v>1.8872523408662675E-2</v>
      </c>
    </row>
    <row r="74" spans="1:8" ht="27" customHeight="1" x14ac:dyDescent="0.4">
      <c r="A74" s="154"/>
      <c r="B74" s="154"/>
      <c r="C74" s="155"/>
      <c r="D74" s="155"/>
      <c r="E74" s="159"/>
      <c r="F74" s="160" t="s">
        <v>19</v>
      </c>
      <c r="G74" s="161">
        <f>COUNT(G60:G71)</f>
        <v>8</v>
      </c>
      <c r="H74" s="161">
        <f>COUNT(H60:H71)</f>
        <v>8</v>
      </c>
    </row>
    <row r="76" spans="1:8" ht="26.25" customHeight="1" x14ac:dyDescent="0.4">
      <c r="A76" s="66" t="s">
        <v>105</v>
      </c>
      <c r="B76" s="162" t="s">
        <v>106</v>
      </c>
      <c r="C76" s="898" t="str">
        <f>B20</f>
        <v>RIFAMPICIN</v>
      </c>
      <c r="D76" s="898"/>
      <c r="E76" s="163" t="s">
        <v>107</v>
      </c>
      <c r="F76" s="163"/>
      <c r="G76" s="164">
        <f>H72</f>
        <v>0.97298925877230791</v>
      </c>
      <c r="H76" s="165"/>
    </row>
    <row r="77" spans="1:8" ht="18.75" x14ac:dyDescent="0.3">
      <c r="A77" s="65" t="s">
        <v>108</v>
      </c>
      <c r="B77" s="65" t="s">
        <v>109</v>
      </c>
    </row>
    <row r="78" spans="1:8" ht="18.75" x14ac:dyDescent="0.3">
      <c r="A78" s="65"/>
      <c r="B78" s="65"/>
    </row>
    <row r="79" spans="1:8" ht="26.25" customHeight="1" x14ac:dyDescent="0.4">
      <c r="A79" s="66" t="s">
        <v>4</v>
      </c>
      <c r="B79" s="884" t="str">
        <f>B26</f>
        <v>RIFAMPICIN</v>
      </c>
      <c r="C79" s="884"/>
    </row>
    <row r="80" spans="1:8" ht="26.25" customHeight="1" x14ac:dyDescent="0.4">
      <c r="A80" s="67" t="s">
        <v>47</v>
      </c>
      <c r="B80" s="884" t="str">
        <f>B27</f>
        <v xml:space="preserve">R5 1 </v>
      </c>
      <c r="C80" s="884"/>
    </row>
    <row r="81" spans="1:12" ht="27" customHeight="1" x14ac:dyDescent="0.4">
      <c r="A81" s="67" t="s">
        <v>6</v>
      </c>
      <c r="B81" s="166">
        <f>B28</f>
        <v>99.6</v>
      </c>
    </row>
    <row r="82" spans="1:12" s="14" customFormat="1" ht="27" customHeight="1" x14ac:dyDescent="0.4">
      <c r="A82" s="67" t="s">
        <v>48</v>
      </c>
      <c r="B82" s="69">
        <v>0</v>
      </c>
      <c r="C82" s="875" t="s">
        <v>49</v>
      </c>
      <c r="D82" s="876"/>
      <c r="E82" s="876"/>
      <c r="F82" s="876"/>
      <c r="G82" s="877"/>
      <c r="I82" s="70"/>
      <c r="J82" s="70"/>
      <c r="K82" s="70"/>
      <c r="L82" s="70"/>
    </row>
    <row r="83" spans="1:12" s="14" customFormat="1" ht="19.5" customHeight="1" x14ac:dyDescent="0.3">
      <c r="A83" s="67" t="s">
        <v>50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">
      <c r="A84" s="67" t="s">
        <v>51</v>
      </c>
      <c r="B84" s="74">
        <v>1</v>
      </c>
      <c r="C84" s="878" t="s">
        <v>110</v>
      </c>
      <c r="D84" s="879"/>
      <c r="E84" s="879"/>
      <c r="F84" s="879"/>
      <c r="G84" s="879"/>
      <c r="H84" s="880"/>
      <c r="I84" s="70"/>
      <c r="J84" s="70"/>
      <c r="K84" s="70"/>
      <c r="L84" s="70"/>
    </row>
    <row r="85" spans="1:12" s="14" customFormat="1" ht="27" customHeight="1" x14ac:dyDescent="0.4">
      <c r="A85" s="67" t="s">
        <v>53</v>
      </c>
      <c r="B85" s="74">
        <v>1</v>
      </c>
      <c r="C85" s="878" t="s">
        <v>111</v>
      </c>
      <c r="D85" s="879"/>
      <c r="E85" s="879"/>
      <c r="F85" s="879"/>
      <c r="G85" s="879"/>
      <c r="H85" s="880"/>
      <c r="I85" s="70"/>
      <c r="J85" s="70"/>
      <c r="K85" s="70"/>
      <c r="L85" s="70"/>
    </row>
    <row r="86" spans="1:12" s="14" customFormat="1" ht="18.75" x14ac:dyDescent="0.3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.75" x14ac:dyDescent="0.3">
      <c r="A87" s="67" t="s">
        <v>55</v>
      </c>
      <c r="B87" s="79">
        <f>B84/B85</f>
        <v>1</v>
      </c>
      <c r="C87" s="58" t="s">
        <v>56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">
      <c r="A88" s="65"/>
      <c r="B88" s="65"/>
    </row>
    <row r="89" spans="1:12" ht="27" customHeight="1" x14ac:dyDescent="0.4">
      <c r="A89" s="80" t="s">
        <v>57</v>
      </c>
      <c r="B89" s="81">
        <v>100</v>
      </c>
      <c r="D89" s="167" t="s">
        <v>58</v>
      </c>
      <c r="E89" s="168"/>
      <c r="F89" s="881" t="s">
        <v>59</v>
      </c>
      <c r="G89" s="883"/>
    </row>
    <row r="90" spans="1:12" ht="27" customHeight="1" x14ac:dyDescent="0.4">
      <c r="A90" s="82" t="s">
        <v>60</v>
      </c>
      <c r="B90" s="83">
        <v>1</v>
      </c>
      <c r="C90" s="169" t="s">
        <v>61</v>
      </c>
      <c r="D90" s="85" t="s">
        <v>62</v>
      </c>
      <c r="E90" s="86" t="s">
        <v>63</v>
      </c>
      <c r="F90" s="85" t="s">
        <v>62</v>
      </c>
      <c r="G90" s="170" t="s">
        <v>63</v>
      </c>
      <c r="I90" s="88" t="s">
        <v>64</v>
      </c>
    </row>
    <row r="91" spans="1:12" ht="26.25" customHeight="1" x14ac:dyDescent="0.4">
      <c r="A91" s="82" t="s">
        <v>65</v>
      </c>
      <c r="B91" s="83">
        <v>1</v>
      </c>
      <c r="C91" s="171">
        <v>1</v>
      </c>
      <c r="D91" s="600">
        <v>3927277</v>
      </c>
      <c r="E91" s="91">
        <f>IF(ISBLANK(D91),"-",$D$101/$D$98*D91)</f>
        <v>3990132.7633952121</v>
      </c>
      <c r="F91" s="600">
        <v>4275540</v>
      </c>
      <c r="G91" s="92">
        <f>IF(ISBLANK(F91),"-",$D$101/$F$98*F91)</f>
        <v>4035261.1800841261</v>
      </c>
      <c r="I91" s="93"/>
    </row>
    <row r="92" spans="1:12" ht="26.25" customHeight="1" x14ac:dyDescent="0.4">
      <c r="A92" s="82" t="s">
        <v>66</v>
      </c>
      <c r="B92" s="83">
        <v>1</v>
      </c>
      <c r="C92" s="155">
        <v>2</v>
      </c>
      <c r="D92" s="601">
        <v>3922488</v>
      </c>
      <c r="E92" s="96">
        <f>IF(ISBLANK(D92),"-",$D$101/$D$98*D92)</f>
        <v>3985267.1158221229</v>
      </c>
      <c r="F92" s="601">
        <v>4265147</v>
      </c>
      <c r="G92" s="97">
        <f>IF(ISBLANK(F92),"-",$D$101/$F$98*F92)</f>
        <v>4025452.2508156328</v>
      </c>
      <c r="I92" s="885">
        <f>ABS((F96/D96*D95)-F95)/D95</f>
        <v>1.2330099718101086E-2</v>
      </c>
    </row>
    <row r="93" spans="1:12" ht="26.25" customHeight="1" x14ac:dyDescent="0.4">
      <c r="A93" s="82" t="s">
        <v>67</v>
      </c>
      <c r="B93" s="83">
        <v>1</v>
      </c>
      <c r="C93" s="155">
        <v>3</v>
      </c>
      <c r="D93" s="601">
        <v>3910898</v>
      </c>
      <c r="E93" s="96">
        <f>IF(ISBLANK(D93),"-",$D$101/$D$98*D93)</f>
        <v>3973491.6187721947</v>
      </c>
      <c r="F93" s="601">
        <v>4264709</v>
      </c>
      <c r="G93" s="97">
        <f>IF(ISBLANK(F93),"-",$D$101/$F$98*F93)</f>
        <v>4025038.8657468748</v>
      </c>
      <c r="I93" s="885"/>
    </row>
    <row r="94" spans="1:12" ht="27" customHeight="1" x14ac:dyDescent="0.4">
      <c r="A94" s="82" t="s">
        <v>68</v>
      </c>
      <c r="B94" s="83">
        <v>1</v>
      </c>
      <c r="C94" s="172">
        <v>4</v>
      </c>
      <c r="D94" s="602"/>
      <c r="E94" s="101" t="str">
        <f>IF(ISBLANK(D94),"-",$D$101/$D$98*D94)</f>
        <v>-</v>
      </c>
      <c r="F94" s="602"/>
      <c r="G94" s="102" t="str">
        <f>IF(ISBLANK(F94),"-",$D$101/$F$98*F94)</f>
        <v>-</v>
      </c>
      <c r="I94" s="103"/>
    </row>
    <row r="95" spans="1:12" ht="27" customHeight="1" x14ac:dyDescent="0.4">
      <c r="A95" s="82" t="s">
        <v>69</v>
      </c>
      <c r="B95" s="83">
        <v>1</v>
      </c>
      <c r="C95" s="173" t="s">
        <v>70</v>
      </c>
      <c r="D95" s="174">
        <f>AVERAGE(D91:D94)</f>
        <v>3920221</v>
      </c>
      <c r="E95" s="106">
        <f>AVERAGE(E91:E94)</f>
        <v>3982963.8326631766</v>
      </c>
      <c r="F95" s="175">
        <f>AVERAGE(F91:F94)</f>
        <v>4268465.333333333</v>
      </c>
      <c r="G95" s="176">
        <f>AVERAGE(G91:G94)</f>
        <v>4028584.0988822114</v>
      </c>
    </row>
    <row r="96" spans="1:12" ht="26.25" customHeight="1" x14ac:dyDescent="0.4">
      <c r="A96" s="82" t="s">
        <v>71</v>
      </c>
      <c r="B96" s="68">
        <v>1</v>
      </c>
      <c r="C96" s="177" t="s">
        <v>112</v>
      </c>
      <c r="D96" s="178">
        <v>16.47</v>
      </c>
      <c r="E96" s="98"/>
      <c r="F96" s="110">
        <v>17.73</v>
      </c>
    </row>
    <row r="97" spans="1:10" ht="26.25" customHeight="1" x14ac:dyDescent="0.4">
      <c r="A97" s="82" t="s">
        <v>73</v>
      </c>
      <c r="B97" s="68">
        <v>1</v>
      </c>
      <c r="C97" s="179" t="s">
        <v>113</v>
      </c>
      <c r="D97" s="180">
        <f>D96*$B$87</f>
        <v>16.47</v>
      </c>
      <c r="E97" s="113"/>
      <c r="F97" s="112">
        <f>F96*$B$87</f>
        <v>17.73</v>
      </c>
    </row>
    <row r="98" spans="1:10" ht="19.5" customHeight="1" x14ac:dyDescent="0.3">
      <c r="A98" s="82" t="s">
        <v>75</v>
      </c>
      <c r="B98" s="181">
        <f>(B97/B96)*(B95/B94)*(B93/B92)*(B91/B90)*B89</f>
        <v>100</v>
      </c>
      <c r="C98" s="179" t="s">
        <v>114</v>
      </c>
      <c r="D98" s="182">
        <f>D97*$B$83/100</f>
        <v>16.404119999999999</v>
      </c>
      <c r="E98" s="116"/>
      <c r="F98" s="115">
        <f>F97*$B$83/100</f>
        <v>17.659079999999999</v>
      </c>
    </row>
    <row r="99" spans="1:10" ht="19.5" customHeight="1" x14ac:dyDescent="0.3">
      <c r="A99" s="886" t="s">
        <v>77</v>
      </c>
      <c r="B99" s="900"/>
      <c r="C99" s="179" t="s">
        <v>115</v>
      </c>
      <c r="D99" s="183">
        <f>D98/$B$98</f>
        <v>0.1640412</v>
      </c>
      <c r="E99" s="116"/>
      <c r="F99" s="119">
        <f>F98/$B$98</f>
        <v>0.17659079999999999</v>
      </c>
      <c r="G99" s="184"/>
      <c r="H99" s="108"/>
    </row>
    <row r="100" spans="1:10" ht="19.5" customHeight="1" x14ac:dyDescent="0.3">
      <c r="A100" s="888"/>
      <c r="B100" s="901"/>
      <c r="C100" s="179" t="s">
        <v>79</v>
      </c>
      <c r="D100" s="185">
        <f>$B$56/$B$116</f>
        <v>0.16666666666666666</v>
      </c>
      <c r="F100" s="124"/>
      <c r="G100" s="186"/>
      <c r="H100" s="108"/>
    </row>
    <row r="101" spans="1:10" ht="18.75" x14ac:dyDescent="0.3">
      <c r="C101" s="179" t="s">
        <v>80</v>
      </c>
      <c r="D101" s="180">
        <f>D100*$B$98</f>
        <v>16.666666666666664</v>
      </c>
      <c r="F101" s="124"/>
      <c r="G101" s="184"/>
      <c r="H101" s="108"/>
    </row>
    <row r="102" spans="1:10" ht="19.5" customHeight="1" x14ac:dyDescent="0.3">
      <c r="C102" s="187" t="s">
        <v>81</v>
      </c>
      <c r="D102" s="188">
        <f>D101/B34</f>
        <v>16.666666666666664</v>
      </c>
      <c r="F102" s="128"/>
      <c r="G102" s="184"/>
      <c r="H102" s="108"/>
      <c r="J102" s="189"/>
    </row>
    <row r="103" spans="1:10" ht="18.75" x14ac:dyDescent="0.3">
      <c r="C103" s="190" t="s">
        <v>116</v>
      </c>
      <c r="D103" s="191">
        <f>AVERAGE(E91:E94,G91:G94)</f>
        <v>4005773.965772694</v>
      </c>
      <c r="F103" s="128"/>
      <c r="G103" s="192"/>
      <c r="H103" s="108"/>
      <c r="J103" s="193"/>
    </row>
    <row r="104" spans="1:10" ht="18.75" x14ac:dyDescent="0.3">
      <c r="C104" s="158" t="s">
        <v>83</v>
      </c>
      <c r="D104" s="194">
        <f>STDEV(E91:E94,G91:G94)/D103</f>
        <v>6.4474677904413306E-3</v>
      </c>
      <c r="F104" s="128"/>
      <c r="G104" s="184"/>
      <c r="H104" s="108"/>
      <c r="J104" s="193"/>
    </row>
    <row r="105" spans="1:10" ht="19.5" customHeight="1" x14ac:dyDescent="0.3">
      <c r="C105" s="160" t="s">
        <v>19</v>
      </c>
      <c r="D105" s="195">
        <f>COUNT(E91:E94,G91:G94)</f>
        <v>6</v>
      </c>
      <c r="F105" s="128"/>
      <c r="G105" s="184"/>
      <c r="H105" s="108"/>
      <c r="J105" s="193"/>
    </row>
    <row r="106" spans="1:10" ht="19.5" customHeight="1" x14ac:dyDescent="0.3">
      <c r="A106" s="132"/>
      <c r="B106" s="132"/>
      <c r="C106" s="132"/>
      <c r="D106" s="132"/>
      <c r="E106" s="132"/>
    </row>
    <row r="107" spans="1:10" ht="26.25" customHeight="1" x14ac:dyDescent="0.4">
      <c r="A107" s="80" t="s">
        <v>117</v>
      </c>
      <c r="B107" s="81">
        <v>900</v>
      </c>
      <c r="C107" s="196" t="s">
        <v>118</v>
      </c>
      <c r="D107" s="197" t="s">
        <v>62</v>
      </c>
      <c r="E107" s="198" t="s">
        <v>119</v>
      </c>
      <c r="F107" s="199" t="s">
        <v>120</v>
      </c>
    </row>
    <row r="108" spans="1:10" ht="26.25" customHeight="1" x14ac:dyDescent="0.4">
      <c r="A108" s="82" t="s">
        <v>121</v>
      </c>
      <c r="B108" s="83">
        <v>1</v>
      </c>
      <c r="C108" s="200">
        <v>1</v>
      </c>
      <c r="D108" s="201">
        <v>3425476</v>
      </c>
      <c r="E108" s="232">
        <f t="shared" ref="E108:E113" si="1">IF(ISBLANK(D108),"-",D108/$D$103*$D$100*$B$116)</f>
        <v>128.27019307388363</v>
      </c>
      <c r="F108" s="202">
        <f t="shared" ref="F108:F113" si="2">IF(ISBLANK(D108), "-", E108/$B$56)</f>
        <v>0.85513462049255751</v>
      </c>
    </row>
    <row r="109" spans="1:10" ht="26.25" customHeight="1" x14ac:dyDescent="0.4">
      <c r="A109" s="82" t="s">
        <v>94</v>
      </c>
      <c r="B109" s="83">
        <v>1</v>
      </c>
      <c r="C109" s="200">
        <v>2</v>
      </c>
      <c r="D109" s="201">
        <v>3415317</v>
      </c>
      <c r="E109" s="233">
        <f t="shared" si="1"/>
        <v>127.88977969733754</v>
      </c>
      <c r="F109" s="203">
        <f t="shared" si="2"/>
        <v>0.85259853131558361</v>
      </c>
    </row>
    <row r="110" spans="1:10" ht="26.25" customHeight="1" x14ac:dyDescent="0.4">
      <c r="A110" s="82" t="s">
        <v>95</v>
      </c>
      <c r="B110" s="83">
        <v>1</v>
      </c>
      <c r="C110" s="200">
        <v>3</v>
      </c>
      <c r="D110" s="201">
        <v>3441749</v>
      </c>
      <c r="E110" s="233">
        <f t="shared" si="1"/>
        <v>128.87955097097333</v>
      </c>
      <c r="F110" s="203">
        <f t="shared" si="2"/>
        <v>0.85919700647315556</v>
      </c>
    </row>
    <row r="111" spans="1:10" ht="26.25" customHeight="1" x14ac:dyDescent="0.4">
      <c r="A111" s="82" t="s">
        <v>96</v>
      </c>
      <c r="B111" s="83">
        <v>1</v>
      </c>
      <c r="C111" s="200">
        <v>4</v>
      </c>
      <c r="D111" s="201">
        <v>3419254</v>
      </c>
      <c r="E111" s="233">
        <f t="shared" si="1"/>
        <v>128.03720439105365</v>
      </c>
      <c r="F111" s="203">
        <f t="shared" si="2"/>
        <v>0.85358136260702433</v>
      </c>
    </row>
    <row r="112" spans="1:10" ht="26.25" customHeight="1" x14ac:dyDescent="0.4">
      <c r="A112" s="82" t="s">
        <v>97</v>
      </c>
      <c r="B112" s="83">
        <v>1</v>
      </c>
      <c r="C112" s="200">
        <v>5</v>
      </c>
      <c r="D112" s="201">
        <v>3438213</v>
      </c>
      <c r="E112" s="233">
        <f t="shared" si="1"/>
        <v>128.74714210204266</v>
      </c>
      <c r="F112" s="203">
        <f t="shared" si="2"/>
        <v>0.85831428068028437</v>
      </c>
    </row>
    <row r="113" spans="1:10" ht="26.25" customHeight="1" x14ac:dyDescent="0.4">
      <c r="A113" s="82" t="s">
        <v>99</v>
      </c>
      <c r="B113" s="83">
        <v>1</v>
      </c>
      <c r="C113" s="204">
        <v>6</v>
      </c>
      <c r="D113" s="205">
        <v>3456814</v>
      </c>
      <c r="E113" s="234">
        <f t="shared" si="1"/>
        <v>129.44367416397137</v>
      </c>
      <c r="F113" s="206">
        <f t="shared" si="2"/>
        <v>0.86295782775980912</v>
      </c>
    </row>
    <row r="114" spans="1:10" ht="26.25" customHeight="1" x14ac:dyDescent="0.4">
      <c r="A114" s="82" t="s">
        <v>100</v>
      </c>
      <c r="B114" s="83">
        <v>1</v>
      </c>
      <c r="C114" s="200"/>
      <c r="D114" s="155"/>
      <c r="E114" s="57"/>
      <c r="F114" s="207"/>
    </row>
    <row r="115" spans="1:10" ht="26.25" customHeight="1" x14ac:dyDescent="0.4">
      <c r="A115" s="82" t="s">
        <v>101</v>
      </c>
      <c r="B115" s="83">
        <v>1</v>
      </c>
      <c r="C115" s="200"/>
      <c r="D115" s="208" t="s">
        <v>70</v>
      </c>
      <c r="E115" s="236">
        <f>AVERAGE(E108:E113)</f>
        <v>128.54459073321038</v>
      </c>
      <c r="F115" s="209">
        <f>AVERAGE(F108:F113)</f>
        <v>0.85696393822140238</v>
      </c>
    </row>
    <row r="116" spans="1:10" ht="27" customHeight="1" x14ac:dyDescent="0.4">
      <c r="A116" s="82" t="s">
        <v>102</v>
      </c>
      <c r="B116" s="114">
        <f>(B115/B114)*(B113/B112)*(B111/B110)*(B109/B108)*B107</f>
        <v>900</v>
      </c>
      <c r="C116" s="210"/>
      <c r="D116" s="173" t="s">
        <v>83</v>
      </c>
      <c r="E116" s="211">
        <f>STDEV(E108:E113)/E115</f>
        <v>4.5668319898135908E-3</v>
      </c>
      <c r="F116" s="211">
        <f>STDEV(F108:F113)/F115</f>
        <v>4.5668319898136099E-3</v>
      </c>
      <c r="I116" s="57"/>
    </row>
    <row r="117" spans="1:10" ht="27" customHeight="1" x14ac:dyDescent="0.4">
      <c r="A117" s="886" t="s">
        <v>77</v>
      </c>
      <c r="B117" s="887"/>
      <c r="C117" s="212"/>
      <c r="D117" s="213" t="s">
        <v>19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">
      <c r="A118" s="888"/>
      <c r="B118" s="889"/>
      <c r="C118" s="57"/>
      <c r="D118" s="57"/>
      <c r="E118" s="57"/>
      <c r="F118" s="155"/>
      <c r="G118" s="57"/>
      <c r="H118" s="57"/>
      <c r="I118" s="57"/>
    </row>
    <row r="119" spans="1:10" ht="18.75" x14ac:dyDescent="0.3">
      <c r="A119" s="223"/>
      <c r="B119" s="78"/>
      <c r="C119" s="57"/>
      <c r="D119" s="57"/>
      <c r="E119" s="57"/>
      <c r="F119" s="155"/>
      <c r="G119" s="57"/>
      <c r="H119" s="57"/>
      <c r="I119" s="57"/>
    </row>
    <row r="120" spans="1:10" ht="26.25" customHeight="1" x14ac:dyDescent="0.4">
      <c r="A120" s="66" t="s">
        <v>105</v>
      </c>
      <c r="B120" s="162" t="s">
        <v>122</v>
      </c>
      <c r="C120" s="898" t="str">
        <f>B20</f>
        <v>RIFAMPICIN</v>
      </c>
      <c r="D120" s="898"/>
      <c r="E120" s="163" t="s">
        <v>123</v>
      </c>
      <c r="F120" s="163"/>
      <c r="G120" s="164">
        <f>F115</f>
        <v>0.85696393822140238</v>
      </c>
      <c r="H120" s="57"/>
      <c r="I120" s="57"/>
    </row>
    <row r="121" spans="1:10" ht="19.5" customHeight="1" x14ac:dyDescent="0.3">
      <c r="A121" s="215"/>
      <c r="B121" s="215"/>
      <c r="C121" s="216"/>
      <c r="D121" s="216"/>
      <c r="E121" s="216"/>
      <c r="F121" s="216"/>
      <c r="G121" s="216"/>
      <c r="H121" s="216"/>
    </row>
    <row r="122" spans="1:10" ht="18.75" x14ac:dyDescent="0.3">
      <c r="B122" s="899" t="s">
        <v>25</v>
      </c>
      <c r="C122" s="899"/>
      <c r="E122" s="169" t="s">
        <v>26</v>
      </c>
      <c r="F122" s="217"/>
      <c r="G122" s="899" t="s">
        <v>27</v>
      </c>
      <c r="H122" s="899"/>
    </row>
    <row r="123" spans="1:10" ht="69.95" customHeight="1" x14ac:dyDescent="0.3">
      <c r="A123" s="218" t="s">
        <v>28</v>
      </c>
      <c r="B123" s="219"/>
      <c r="C123" s="219"/>
      <c r="E123" s="219"/>
      <c r="F123" s="57"/>
      <c r="G123" s="220"/>
      <c r="H123" s="220"/>
    </row>
    <row r="124" spans="1:10" ht="69.95" customHeight="1" x14ac:dyDescent="0.3">
      <c r="A124" s="218" t="s">
        <v>29</v>
      </c>
      <c r="B124" s="221"/>
      <c r="C124" s="221"/>
      <c r="E124" s="221"/>
      <c r="F124" s="57"/>
      <c r="G124" s="222"/>
      <c r="H124" s="222"/>
    </row>
    <row r="125" spans="1:10" ht="18.75" x14ac:dyDescent="0.3">
      <c r="A125" s="154"/>
      <c r="B125" s="154"/>
      <c r="C125" s="155"/>
      <c r="D125" s="155"/>
      <c r="E125" s="155"/>
      <c r="F125" s="159"/>
      <c r="G125" s="155"/>
      <c r="H125" s="155"/>
      <c r="I125" s="57"/>
    </row>
    <row r="126" spans="1:10" ht="18.75" x14ac:dyDescent="0.3">
      <c r="A126" s="154"/>
      <c r="B126" s="154"/>
      <c r="C126" s="155"/>
      <c r="D126" s="155"/>
      <c r="E126" s="155"/>
      <c r="F126" s="159"/>
      <c r="G126" s="155"/>
      <c r="H126" s="155"/>
      <c r="I126" s="57"/>
    </row>
    <row r="127" spans="1:10" ht="18.75" x14ac:dyDescent="0.3">
      <c r="A127" s="154"/>
      <c r="B127" s="154"/>
      <c r="C127" s="155"/>
      <c r="D127" s="155"/>
      <c r="E127" s="155"/>
      <c r="F127" s="159"/>
      <c r="G127" s="155"/>
      <c r="H127" s="155"/>
      <c r="I127" s="57"/>
    </row>
    <row r="128" spans="1:10" ht="18.75" x14ac:dyDescent="0.3">
      <c r="A128" s="154"/>
      <c r="B128" s="154"/>
      <c r="C128" s="155"/>
      <c r="D128" s="155"/>
      <c r="E128" s="155"/>
      <c r="F128" s="159"/>
      <c r="G128" s="155"/>
      <c r="H128" s="155"/>
      <c r="I128" s="57"/>
    </row>
    <row r="129" spans="1:9" ht="18.75" x14ac:dyDescent="0.3">
      <c r="A129" s="154"/>
      <c r="B129" s="154"/>
      <c r="C129" s="155"/>
      <c r="D129" s="155"/>
      <c r="E129" s="155"/>
      <c r="F129" s="159"/>
      <c r="G129" s="155"/>
      <c r="H129" s="155"/>
      <c r="I129" s="57"/>
    </row>
    <row r="130" spans="1:9" ht="18.75" x14ac:dyDescent="0.3">
      <c r="A130" s="154"/>
      <c r="B130" s="154"/>
      <c r="C130" s="155"/>
      <c r="D130" s="155"/>
      <c r="E130" s="155"/>
      <c r="F130" s="159"/>
      <c r="G130" s="155"/>
      <c r="H130" s="155"/>
      <c r="I130" s="57"/>
    </row>
    <row r="131" spans="1:9" ht="18.75" x14ac:dyDescent="0.3">
      <c r="A131" s="154"/>
      <c r="B131" s="154"/>
      <c r="C131" s="155"/>
      <c r="D131" s="155"/>
      <c r="E131" s="155"/>
      <c r="F131" s="159"/>
      <c r="G131" s="155"/>
      <c r="H131" s="155"/>
      <c r="I131" s="57"/>
    </row>
    <row r="132" spans="1:9" ht="18.75" x14ac:dyDescent="0.3">
      <c r="A132" s="154"/>
      <c r="B132" s="154"/>
      <c r="C132" s="155"/>
      <c r="D132" s="155"/>
      <c r="E132" s="155"/>
      <c r="F132" s="159"/>
      <c r="G132" s="155"/>
      <c r="H132" s="155"/>
      <c r="I132" s="57"/>
    </row>
    <row r="133" spans="1:9" ht="18.75" x14ac:dyDescent="0.3">
      <c r="A133" s="154"/>
      <c r="B133" s="154"/>
      <c r="C133" s="155"/>
      <c r="D133" s="155"/>
      <c r="E133" s="155"/>
      <c r="F133" s="159"/>
      <c r="G133" s="155"/>
      <c r="H133" s="155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3229166666666666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4" zoomScale="60" zoomScaleNormal="100" workbookViewId="0">
      <selection activeCell="C37" sqref="C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7" t="s">
        <v>132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139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10.35</v>
      </c>
      <c r="C20" s="10"/>
      <c r="D20" s="10"/>
      <c r="E20" s="10"/>
    </row>
    <row r="21" spans="1:6" ht="16.5" customHeight="1" x14ac:dyDescent="0.3">
      <c r="A21" s="7" t="s">
        <v>9</v>
      </c>
      <c r="B21" s="13">
        <f>B20/100</f>
        <v>0.10349999999999999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4146252</v>
      </c>
      <c r="C24" s="18">
        <v>5442.1</v>
      </c>
      <c r="D24" s="19">
        <v>1.1000000000000001</v>
      </c>
      <c r="E24" s="20">
        <v>2.7</v>
      </c>
    </row>
    <row r="25" spans="1:6" ht="16.5" customHeight="1" x14ac:dyDescent="0.3">
      <c r="A25" s="17">
        <v>2</v>
      </c>
      <c r="B25" s="18">
        <v>4148181</v>
      </c>
      <c r="C25" s="18">
        <v>5172.6000000000004</v>
      </c>
      <c r="D25" s="19">
        <v>1.1000000000000001</v>
      </c>
      <c r="E25" s="19">
        <v>2.7</v>
      </c>
    </row>
    <row r="26" spans="1:6" ht="16.5" customHeight="1" x14ac:dyDescent="0.3">
      <c r="A26" s="17">
        <v>3</v>
      </c>
      <c r="B26" s="18">
        <v>4144144</v>
      </c>
      <c r="C26" s="18">
        <v>5061.5</v>
      </c>
      <c r="D26" s="19">
        <v>1.1000000000000001</v>
      </c>
      <c r="E26" s="19">
        <v>2.7</v>
      </c>
    </row>
    <row r="27" spans="1:6" ht="16.5" customHeight="1" x14ac:dyDescent="0.3">
      <c r="A27" s="17">
        <v>4</v>
      </c>
      <c r="B27" s="18">
        <v>4139957</v>
      </c>
      <c r="C27" s="18">
        <v>5159.8999999999996</v>
      </c>
      <c r="D27" s="19">
        <v>1.1000000000000001</v>
      </c>
      <c r="E27" s="19">
        <v>2.7</v>
      </c>
    </row>
    <row r="28" spans="1:6" ht="16.5" customHeight="1" x14ac:dyDescent="0.3">
      <c r="A28" s="17">
        <v>5</v>
      </c>
      <c r="B28" s="18">
        <v>4144306</v>
      </c>
      <c r="C28" s="18">
        <v>5207.3999999999996</v>
      </c>
      <c r="D28" s="19">
        <v>1.1000000000000001</v>
      </c>
      <c r="E28" s="19">
        <v>2.7</v>
      </c>
    </row>
    <row r="29" spans="1:6" ht="16.5" customHeight="1" x14ac:dyDescent="0.3">
      <c r="A29" s="17">
        <v>6</v>
      </c>
      <c r="B29" s="21">
        <v>4136903</v>
      </c>
      <c r="C29" s="21">
        <v>5295.9</v>
      </c>
      <c r="D29" s="22">
        <v>1.1000000000000001</v>
      </c>
      <c r="E29" s="22">
        <v>2.7</v>
      </c>
    </row>
    <row r="30" spans="1:6" ht="16.5" customHeight="1" x14ac:dyDescent="0.3">
      <c r="A30" s="23" t="s">
        <v>17</v>
      </c>
      <c r="B30" s="24">
        <f>AVERAGE(B24:B29)</f>
        <v>4143290.5</v>
      </c>
      <c r="C30" s="25">
        <f>AVERAGE(C24:C29)</f>
        <v>5223.2333333333336</v>
      </c>
      <c r="D30" s="26">
        <f>AVERAGE(D24:D29)</f>
        <v>1.0999999999999999</v>
      </c>
      <c r="E30" s="26">
        <f>AVERAGE(E24:E29)</f>
        <v>2.6999999999999997</v>
      </c>
    </row>
    <row r="31" spans="1:6" ht="16.5" customHeight="1" x14ac:dyDescent="0.3">
      <c r="A31" s="27" t="s">
        <v>18</v>
      </c>
      <c r="B31" s="28">
        <f>(STDEV(B24:B29)/B30)</f>
        <v>1.0030551400384631E-3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607" t="s">
        <v>132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139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10.35</v>
      </c>
      <c r="C41" s="10"/>
      <c r="D41" s="10"/>
      <c r="E41" s="10"/>
    </row>
    <row r="42" spans="1:6" ht="16.5" customHeight="1" x14ac:dyDescent="0.3">
      <c r="A42" s="7" t="s">
        <v>9</v>
      </c>
      <c r="B42" s="13">
        <f>B41/100</f>
        <v>0.10349999999999999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4146252</v>
      </c>
      <c r="C45" s="18">
        <v>5442.1</v>
      </c>
      <c r="D45" s="19">
        <v>1.1000000000000001</v>
      </c>
      <c r="E45" s="20">
        <v>2.7</v>
      </c>
    </row>
    <row r="46" spans="1:6" ht="16.5" customHeight="1" x14ac:dyDescent="0.3">
      <c r="A46" s="17">
        <v>2</v>
      </c>
      <c r="B46" s="18">
        <v>4148181</v>
      </c>
      <c r="C46" s="18">
        <v>5172.6000000000004</v>
      </c>
      <c r="D46" s="19">
        <v>1.1000000000000001</v>
      </c>
      <c r="E46" s="19">
        <v>2.7</v>
      </c>
    </row>
    <row r="47" spans="1:6" ht="16.5" customHeight="1" x14ac:dyDescent="0.3">
      <c r="A47" s="17">
        <v>3</v>
      </c>
      <c r="B47" s="18">
        <v>4144144</v>
      </c>
      <c r="C47" s="18">
        <v>5061.5</v>
      </c>
      <c r="D47" s="19">
        <v>1.1000000000000001</v>
      </c>
      <c r="E47" s="19">
        <v>2.7</v>
      </c>
    </row>
    <row r="48" spans="1:6" ht="16.5" customHeight="1" x14ac:dyDescent="0.3">
      <c r="A48" s="17">
        <v>4</v>
      </c>
      <c r="B48" s="18">
        <v>4139957</v>
      </c>
      <c r="C48" s="18">
        <v>5159.8999999999996</v>
      </c>
      <c r="D48" s="19">
        <v>1.1000000000000001</v>
      </c>
      <c r="E48" s="19">
        <v>2.7</v>
      </c>
    </row>
    <row r="49" spans="1:7" ht="16.5" customHeight="1" x14ac:dyDescent="0.3">
      <c r="A49" s="17">
        <v>5</v>
      </c>
      <c r="B49" s="18">
        <v>4144306</v>
      </c>
      <c r="C49" s="18">
        <v>5207.3999999999996</v>
      </c>
      <c r="D49" s="19">
        <v>1.1000000000000001</v>
      </c>
      <c r="E49" s="19">
        <v>2.7</v>
      </c>
    </row>
    <row r="50" spans="1:7" ht="16.5" customHeight="1" x14ac:dyDescent="0.3">
      <c r="A50" s="17">
        <v>6</v>
      </c>
      <c r="B50" s="21">
        <v>4136903</v>
      </c>
      <c r="C50" s="21">
        <v>5295.9</v>
      </c>
      <c r="D50" s="22">
        <v>1.1000000000000001</v>
      </c>
      <c r="E50" s="22">
        <v>2.7</v>
      </c>
    </row>
    <row r="51" spans="1:7" ht="16.5" customHeight="1" x14ac:dyDescent="0.3">
      <c r="A51" s="23" t="s">
        <v>17</v>
      </c>
      <c r="B51" s="24">
        <f>AVERAGE(B45:B50)</f>
        <v>4143290.5</v>
      </c>
      <c r="C51" s="25">
        <f>AVERAGE(C45:C50)</f>
        <v>5223.2333333333336</v>
      </c>
      <c r="D51" s="26">
        <f>AVERAGE(D45:D50)</f>
        <v>1.0999999999999999</v>
      </c>
      <c r="E51" s="26">
        <f>AVERAGE(E45:E50)</f>
        <v>2.6999999999999997</v>
      </c>
    </row>
    <row r="52" spans="1:7" ht="16.5" customHeight="1" x14ac:dyDescent="0.3">
      <c r="A52" s="27" t="s">
        <v>18</v>
      </c>
      <c r="B52" s="28">
        <f>(STDEV(B45:B50)/B51)</f>
        <v>1.0030551400384631E-3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908" t="s">
        <v>25</v>
      </c>
      <c r="C59" s="908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5" zoomScale="60" zoomScaleNormal="40" zoomScalePageLayoutView="6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96" t="s">
        <v>44</v>
      </c>
      <c r="B1" s="896"/>
      <c r="C1" s="896"/>
      <c r="D1" s="896"/>
      <c r="E1" s="896"/>
      <c r="F1" s="896"/>
      <c r="G1" s="896"/>
      <c r="H1" s="896"/>
      <c r="I1" s="896"/>
    </row>
    <row r="2" spans="1:9" ht="18.75" customHeight="1" x14ac:dyDescent="0.25">
      <c r="A2" s="896"/>
      <c r="B2" s="896"/>
      <c r="C2" s="896"/>
      <c r="D2" s="896"/>
      <c r="E2" s="896"/>
      <c r="F2" s="896"/>
      <c r="G2" s="896"/>
      <c r="H2" s="896"/>
      <c r="I2" s="896"/>
    </row>
    <row r="3" spans="1:9" ht="18.75" customHeight="1" x14ac:dyDescent="0.25">
      <c r="A3" s="896"/>
      <c r="B3" s="896"/>
      <c r="C3" s="896"/>
      <c r="D3" s="896"/>
      <c r="E3" s="896"/>
      <c r="F3" s="896"/>
      <c r="G3" s="896"/>
      <c r="H3" s="896"/>
      <c r="I3" s="896"/>
    </row>
    <row r="4" spans="1:9" ht="18.75" customHeight="1" x14ac:dyDescent="0.25">
      <c r="A4" s="896"/>
      <c r="B4" s="896"/>
      <c r="C4" s="896"/>
      <c r="D4" s="896"/>
      <c r="E4" s="896"/>
      <c r="F4" s="896"/>
      <c r="G4" s="896"/>
      <c r="H4" s="896"/>
      <c r="I4" s="896"/>
    </row>
    <row r="5" spans="1:9" ht="18.75" customHeight="1" x14ac:dyDescent="0.25">
      <c r="A5" s="896"/>
      <c r="B5" s="896"/>
      <c r="C5" s="896"/>
      <c r="D5" s="896"/>
      <c r="E5" s="896"/>
      <c r="F5" s="896"/>
      <c r="G5" s="896"/>
      <c r="H5" s="896"/>
      <c r="I5" s="896"/>
    </row>
    <row r="6" spans="1:9" ht="18.75" customHeight="1" x14ac:dyDescent="0.25">
      <c r="A6" s="896"/>
      <c r="B6" s="896"/>
      <c r="C6" s="896"/>
      <c r="D6" s="896"/>
      <c r="E6" s="896"/>
      <c r="F6" s="896"/>
      <c r="G6" s="896"/>
      <c r="H6" s="896"/>
      <c r="I6" s="896"/>
    </row>
    <row r="7" spans="1:9" ht="18.75" customHeight="1" x14ac:dyDescent="0.25">
      <c r="A7" s="896"/>
      <c r="B7" s="896"/>
      <c r="C7" s="896"/>
      <c r="D7" s="896"/>
      <c r="E7" s="896"/>
      <c r="F7" s="896"/>
      <c r="G7" s="896"/>
      <c r="H7" s="896"/>
      <c r="I7" s="896"/>
    </row>
    <row r="8" spans="1:9" x14ac:dyDescent="0.25">
      <c r="A8" s="897" t="s">
        <v>45</v>
      </c>
      <c r="B8" s="897"/>
      <c r="C8" s="897"/>
      <c r="D8" s="897"/>
      <c r="E8" s="897"/>
      <c r="F8" s="897"/>
      <c r="G8" s="897"/>
      <c r="H8" s="897"/>
      <c r="I8" s="897"/>
    </row>
    <row r="9" spans="1:9" x14ac:dyDescent="0.25">
      <c r="A9" s="897"/>
      <c r="B9" s="897"/>
      <c r="C9" s="897"/>
      <c r="D9" s="897"/>
      <c r="E9" s="897"/>
      <c r="F9" s="897"/>
      <c r="G9" s="897"/>
      <c r="H9" s="897"/>
      <c r="I9" s="897"/>
    </row>
    <row r="10" spans="1:9" x14ac:dyDescent="0.25">
      <c r="A10" s="897"/>
      <c r="B10" s="897"/>
      <c r="C10" s="897"/>
      <c r="D10" s="897"/>
      <c r="E10" s="897"/>
      <c r="F10" s="897"/>
      <c r="G10" s="897"/>
      <c r="H10" s="897"/>
      <c r="I10" s="897"/>
    </row>
    <row r="11" spans="1:9" x14ac:dyDescent="0.25">
      <c r="A11" s="897"/>
      <c r="B11" s="897"/>
      <c r="C11" s="897"/>
      <c r="D11" s="897"/>
      <c r="E11" s="897"/>
      <c r="F11" s="897"/>
      <c r="G11" s="897"/>
      <c r="H11" s="897"/>
      <c r="I11" s="897"/>
    </row>
    <row r="12" spans="1:9" x14ac:dyDescent="0.25">
      <c r="A12" s="897"/>
      <c r="B12" s="897"/>
      <c r="C12" s="897"/>
      <c r="D12" s="897"/>
      <c r="E12" s="897"/>
      <c r="F12" s="897"/>
      <c r="G12" s="897"/>
      <c r="H12" s="897"/>
      <c r="I12" s="897"/>
    </row>
    <row r="13" spans="1:9" x14ac:dyDescent="0.25">
      <c r="A13" s="897"/>
      <c r="B13" s="897"/>
      <c r="C13" s="897"/>
      <c r="D13" s="897"/>
      <c r="E13" s="897"/>
      <c r="F13" s="897"/>
      <c r="G13" s="897"/>
      <c r="H13" s="897"/>
      <c r="I13" s="897"/>
    </row>
    <row r="14" spans="1:9" x14ac:dyDescent="0.25">
      <c r="A14" s="897"/>
      <c r="B14" s="897"/>
      <c r="C14" s="897"/>
      <c r="D14" s="897"/>
      <c r="E14" s="897"/>
      <c r="F14" s="897"/>
      <c r="G14" s="897"/>
      <c r="H14" s="897"/>
      <c r="I14" s="897"/>
    </row>
    <row r="15" spans="1:9" ht="19.5" customHeight="1" x14ac:dyDescent="0.3">
      <c r="A15" s="238"/>
    </row>
    <row r="16" spans="1:9" ht="19.5" customHeight="1" x14ac:dyDescent="0.3">
      <c r="A16" s="869" t="s">
        <v>30</v>
      </c>
      <c r="B16" s="870"/>
      <c r="C16" s="870"/>
      <c r="D16" s="870"/>
      <c r="E16" s="870"/>
      <c r="F16" s="870"/>
      <c r="G16" s="870"/>
      <c r="H16" s="871"/>
    </row>
    <row r="17" spans="1:14" ht="20.25" customHeight="1" x14ac:dyDescent="0.25">
      <c r="A17" s="872" t="s">
        <v>46</v>
      </c>
      <c r="B17" s="872"/>
      <c r="C17" s="872"/>
      <c r="D17" s="872"/>
      <c r="E17" s="872"/>
      <c r="F17" s="872"/>
      <c r="G17" s="872"/>
      <c r="H17" s="872"/>
    </row>
    <row r="18" spans="1:14" ht="26.25" customHeight="1" x14ac:dyDescent="0.4">
      <c r="A18" s="240" t="s">
        <v>32</v>
      </c>
      <c r="B18" s="868" t="s">
        <v>5</v>
      </c>
      <c r="C18" s="868"/>
      <c r="D18" s="405"/>
      <c r="E18" s="241"/>
      <c r="F18" s="242"/>
      <c r="G18" s="242"/>
      <c r="H18" s="242"/>
    </row>
    <row r="19" spans="1:14" ht="26.25" customHeight="1" x14ac:dyDescent="0.4">
      <c r="A19" s="240" t="s">
        <v>33</v>
      </c>
      <c r="B19" s="652" t="str">
        <f>Rifampicin!B19</f>
        <v>NDQD201511523</v>
      </c>
      <c r="C19" s="418">
        <v>29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34</v>
      </c>
      <c r="B20" s="909" t="s">
        <v>135</v>
      </c>
      <c r="C20" s="873"/>
      <c r="D20" s="242"/>
      <c r="E20" s="242"/>
      <c r="F20" s="242"/>
      <c r="G20" s="242"/>
      <c r="H20" s="242"/>
    </row>
    <row r="21" spans="1:14" ht="26.25" customHeight="1" x14ac:dyDescent="0.4">
      <c r="A21" s="240" t="s">
        <v>35</v>
      </c>
      <c r="B21" s="873" t="s">
        <v>10</v>
      </c>
      <c r="C21" s="873"/>
      <c r="D21" s="873"/>
      <c r="E21" s="873"/>
      <c r="F21" s="873"/>
      <c r="G21" s="873"/>
      <c r="H21" s="873"/>
      <c r="I21" s="243"/>
    </row>
    <row r="22" spans="1:14" ht="26.25" customHeight="1" x14ac:dyDescent="0.4">
      <c r="A22" s="240" t="s">
        <v>36</v>
      </c>
      <c r="B22" s="244" t="s">
        <v>11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37</v>
      </c>
      <c r="B23" s="244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868" t="s">
        <v>125</v>
      </c>
      <c r="C26" s="868"/>
    </row>
    <row r="27" spans="1:14" ht="26.25" customHeight="1" x14ac:dyDescent="0.4">
      <c r="A27" s="248" t="s">
        <v>47</v>
      </c>
      <c r="B27" s="874" t="s">
        <v>129</v>
      </c>
      <c r="C27" s="874"/>
    </row>
    <row r="28" spans="1:14" ht="27" customHeight="1" x14ac:dyDescent="0.4">
      <c r="A28" s="248" t="s">
        <v>6</v>
      </c>
      <c r="B28" s="249">
        <v>98.5</v>
      </c>
    </row>
    <row r="29" spans="1:14" s="14" customFormat="1" ht="27" customHeight="1" x14ac:dyDescent="0.4">
      <c r="A29" s="248" t="s">
        <v>48</v>
      </c>
      <c r="B29" s="250">
        <v>0</v>
      </c>
      <c r="C29" s="875" t="s">
        <v>49</v>
      </c>
      <c r="D29" s="876"/>
      <c r="E29" s="876"/>
      <c r="F29" s="876"/>
      <c r="G29" s="877"/>
      <c r="I29" s="251"/>
      <c r="J29" s="251"/>
      <c r="K29" s="251"/>
      <c r="L29" s="251"/>
    </row>
    <row r="30" spans="1:14" s="14" customFormat="1" ht="19.5" customHeight="1" x14ac:dyDescent="0.3">
      <c r="A30" s="248" t="s">
        <v>50</v>
      </c>
      <c r="B30" s="252">
        <f>B28-B29</f>
        <v>98.5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14" customFormat="1" ht="27" customHeight="1" x14ac:dyDescent="0.4">
      <c r="A31" s="248" t="s">
        <v>51</v>
      </c>
      <c r="B31" s="255">
        <v>1</v>
      </c>
      <c r="C31" s="878" t="s">
        <v>52</v>
      </c>
      <c r="D31" s="879"/>
      <c r="E31" s="879"/>
      <c r="F31" s="879"/>
      <c r="G31" s="879"/>
      <c r="H31" s="880"/>
      <c r="I31" s="251"/>
      <c r="J31" s="251"/>
      <c r="K31" s="251"/>
      <c r="L31" s="251"/>
    </row>
    <row r="32" spans="1:14" s="14" customFormat="1" ht="27" customHeight="1" x14ac:dyDescent="0.4">
      <c r="A32" s="248" t="s">
        <v>53</v>
      </c>
      <c r="B32" s="255">
        <v>1</v>
      </c>
      <c r="C32" s="878" t="s">
        <v>54</v>
      </c>
      <c r="D32" s="879"/>
      <c r="E32" s="879"/>
      <c r="F32" s="879"/>
      <c r="G32" s="879"/>
      <c r="H32" s="880"/>
      <c r="I32" s="251"/>
      <c r="J32" s="251"/>
      <c r="K32" s="251"/>
      <c r="L32" s="256"/>
      <c r="M32" s="256"/>
      <c r="N32" s="257"/>
    </row>
    <row r="33" spans="1:14" s="14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14" customFormat="1" ht="18.75" x14ac:dyDescent="0.3">
      <c r="A34" s="248" t="s">
        <v>55</v>
      </c>
      <c r="B34" s="260">
        <f>B31/B32</f>
        <v>1</v>
      </c>
      <c r="C34" s="239" t="s">
        <v>56</v>
      </c>
      <c r="D34" s="239"/>
      <c r="E34" s="239"/>
      <c r="F34" s="239"/>
      <c r="G34" s="239"/>
      <c r="I34" s="251"/>
      <c r="J34" s="251"/>
      <c r="K34" s="251"/>
      <c r="L34" s="256"/>
      <c r="M34" s="256"/>
      <c r="N34" s="257"/>
    </row>
    <row r="35" spans="1:14" s="14" customFormat="1" ht="19.5" customHeight="1" x14ac:dyDescent="0.3">
      <c r="A35" s="248"/>
      <c r="B35" s="252"/>
      <c r="G35" s="239"/>
      <c r="I35" s="251"/>
      <c r="J35" s="251"/>
      <c r="K35" s="251"/>
      <c r="L35" s="256"/>
      <c r="M35" s="256"/>
      <c r="N35" s="257"/>
    </row>
    <row r="36" spans="1:14" s="14" customFormat="1" ht="27" customHeight="1" x14ac:dyDescent="0.4">
      <c r="A36" s="261" t="s">
        <v>57</v>
      </c>
      <c r="B36" s="262">
        <v>100</v>
      </c>
      <c r="C36" s="239"/>
      <c r="D36" s="881" t="s">
        <v>58</v>
      </c>
      <c r="E36" s="882"/>
      <c r="F36" s="881" t="s">
        <v>59</v>
      </c>
      <c r="G36" s="883"/>
      <c r="J36" s="251"/>
      <c r="K36" s="251"/>
      <c r="L36" s="256"/>
      <c r="M36" s="256"/>
      <c r="N36" s="257"/>
    </row>
    <row r="37" spans="1:14" s="14" customFormat="1" ht="27" customHeight="1" x14ac:dyDescent="0.4">
      <c r="A37" s="263" t="s">
        <v>60</v>
      </c>
      <c r="B37" s="264">
        <v>1</v>
      </c>
      <c r="C37" s="265" t="s">
        <v>61</v>
      </c>
      <c r="D37" s="266" t="s">
        <v>62</v>
      </c>
      <c r="E37" s="267" t="s">
        <v>63</v>
      </c>
      <c r="F37" s="266" t="s">
        <v>62</v>
      </c>
      <c r="G37" s="268" t="s">
        <v>63</v>
      </c>
      <c r="I37" s="269" t="s">
        <v>64</v>
      </c>
      <c r="J37" s="251"/>
      <c r="K37" s="251"/>
      <c r="L37" s="256"/>
      <c r="M37" s="256"/>
      <c r="N37" s="257"/>
    </row>
    <row r="38" spans="1:14" s="14" customFormat="1" ht="26.25" customHeight="1" x14ac:dyDescent="0.4">
      <c r="A38" s="263" t="s">
        <v>65</v>
      </c>
      <c r="B38" s="264">
        <v>1</v>
      </c>
      <c r="C38" s="270">
        <v>1</v>
      </c>
      <c r="D38" s="271">
        <v>4139957</v>
      </c>
      <c r="E38" s="272">
        <f>IF(ISBLANK(D38),"-",$D$48/$D$45*D38)</f>
        <v>3248697.2216091617</v>
      </c>
      <c r="F38" s="271">
        <v>3431404</v>
      </c>
      <c r="G38" s="273">
        <f>IF(ISBLANK(F38),"-",$D$48/$F$45*F38)</f>
        <v>3305963.3530237069</v>
      </c>
      <c r="I38" s="274"/>
      <c r="J38" s="251"/>
      <c r="K38" s="251"/>
      <c r="L38" s="256"/>
      <c r="M38" s="256"/>
      <c r="N38" s="257"/>
    </row>
    <row r="39" spans="1:14" s="14" customFormat="1" ht="26.25" customHeight="1" x14ac:dyDescent="0.4">
      <c r="A39" s="263" t="s">
        <v>66</v>
      </c>
      <c r="B39" s="264">
        <v>1</v>
      </c>
      <c r="C39" s="275">
        <v>2</v>
      </c>
      <c r="D39" s="276">
        <v>4144306</v>
      </c>
      <c r="E39" s="277">
        <f>IF(ISBLANK(D39),"-",$D$48/$D$45*D39)</f>
        <v>3252109.9585571005</v>
      </c>
      <c r="F39" s="276">
        <v>3431097</v>
      </c>
      <c r="G39" s="278">
        <f>IF(ISBLANK(F39),"-",$D$48/$F$45*F39)</f>
        <v>3305667.5759163252</v>
      </c>
      <c r="I39" s="885">
        <f>ABS((F43/D43*D42)-F42)/D42</f>
        <v>1.3941871596376346E-2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67</v>
      </c>
      <c r="B40" s="264">
        <v>1</v>
      </c>
      <c r="C40" s="275">
        <v>3</v>
      </c>
      <c r="D40" s="276">
        <v>4136903</v>
      </c>
      <c r="E40" s="277">
        <f>IF(ISBLANK(D40),"-",$D$48/$D$45*D40)</f>
        <v>3246300.6939846491</v>
      </c>
      <c r="F40" s="276">
        <v>3427623</v>
      </c>
      <c r="G40" s="278">
        <f>IF(ISBLANK(F40),"-",$D$48/$F$45*F40)</f>
        <v>3302320.573730513</v>
      </c>
      <c r="I40" s="885"/>
      <c r="L40" s="256"/>
      <c r="M40" s="256"/>
      <c r="N40" s="279"/>
    </row>
    <row r="41" spans="1:14" ht="27" customHeight="1" x14ac:dyDescent="0.4">
      <c r="A41" s="263" t="s">
        <v>68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69</v>
      </c>
      <c r="B42" s="264">
        <v>1</v>
      </c>
      <c r="C42" s="285" t="s">
        <v>70</v>
      </c>
      <c r="D42" s="286">
        <f>AVERAGE(D38:D41)</f>
        <v>4140388.6666666665</v>
      </c>
      <c r="E42" s="287">
        <f>AVERAGE(E38:E41)</f>
        <v>3249035.9580503036</v>
      </c>
      <c r="F42" s="286">
        <f>AVERAGE(F38:F41)</f>
        <v>3430041.3333333335</v>
      </c>
      <c r="G42" s="288">
        <f>AVERAGE(G38:G41)</f>
        <v>3304650.5008901819</v>
      </c>
      <c r="H42" s="289"/>
    </row>
    <row r="43" spans="1:14" ht="26.25" customHeight="1" x14ac:dyDescent="0.4">
      <c r="A43" s="263" t="s">
        <v>71</v>
      </c>
      <c r="B43" s="264">
        <v>1</v>
      </c>
      <c r="C43" s="290" t="s">
        <v>72</v>
      </c>
      <c r="D43" s="291">
        <v>10.35</v>
      </c>
      <c r="E43" s="279"/>
      <c r="F43" s="291">
        <v>8.43</v>
      </c>
      <c r="H43" s="289"/>
    </row>
    <row r="44" spans="1:14" ht="26.25" customHeight="1" x14ac:dyDescent="0.4">
      <c r="A44" s="263" t="s">
        <v>73</v>
      </c>
      <c r="B44" s="264">
        <v>1</v>
      </c>
      <c r="C44" s="292" t="s">
        <v>74</v>
      </c>
      <c r="D44" s="293">
        <f>D43*$B$34</f>
        <v>10.35</v>
      </c>
      <c r="E44" s="294"/>
      <c r="F44" s="293">
        <f>F43*$B$34</f>
        <v>8.43</v>
      </c>
      <c r="H44" s="289"/>
    </row>
    <row r="45" spans="1:14" ht="19.5" customHeight="1" x14ac:dyDescent="0.3">
      <c r="A45" s="263" t="s">
        <v>75</v>
      </c>
      <c r="B45" s="295">
        <f>(B44/B43)*(B42/B41)*(B40/B39)*(B38/B37)*B36</f>
        <v>100</v>
      </c>
      <c r="C45" s="292" t="s">
        <v>76</v>
      </c>
      <c r="D45" s="296">
        <f>D44*$B$30/100</f>
        <v>10.194749999999999</v>
      </c>
      <c r="E45" s="297"/>
      <c r="F45" s="296">
        <f>F44*$B$30/100</f>
        <v>8.3035499999999995</v>
      </c>
      <c r="H45" s="289"/>
    </row>
    <row r="46" spans="1:14" ht="19.5" customHeight="1" x14ac:dyDescent="0.3">
      <c r="A46" s="886" t="s">
        <v>77</v>
      </c>
      <c r="B46" s="887"/>
      <c r="C46" s="292" t="s">
        <v>78</v>
      </c>
      <c r="D46" s="298">
        <f>D45/$B$45</f>
        <v>0.1019475</v>
      </c>
      <c r="E46" s="299"/>
      <c r="F46" s="300">
        <f>F45/$B$45</f>
        <v>8.3035499999999998E-2</v>
      </c>
      <c r="H46" s="289"/>
    </row>
    <row r="47" spans="1:14" ht="27" customHeight="1" x14ac:dyDescent="0.4">
      <c r="A47" s="888"/>
      <c r="B47" s="889"/>
      <c r="C47" s="301" t="s">
        <v>79</v>
      </c>
      <c r="D47" s="302">
        <v>0.08</v>
      </c>
      <c r="E47" s="303"/>
      <c r="F47" s="299"/>
      <c r="H47" s="289"/>
    </row>
    <row r="48" spans="1:14" ht="18.75" x14ac:dyDescent="0.3">
      <c r="C48" s="304" t="s">
        <v>80</v>
      </c>
      <c r="D48" s="296">
        <f>D47*$B$45</f>
        <v>8</v>
      </c>
      <c r="F48" s="305"/>
      <c r="H48" s="289"/>
    </row>
    <row r="49" spans="1:12" ht="19.5" customHeight="1" x14ac:dyDescent="0.3">
      <c r="C49" s="306" t="s">
        <v>81</v>
      </c>
      <c r="D49" s="307">
        <f>D48/B34</f>
        <v>8</v>
      </c>
      <c r="F49" s="305"/>
      <c r="H49" s="289"/>
    </row>
    <row r="50" spans="1:12" ht="18.75" x14ac:dyDescent="0.3">
      <c r="C50" s="261" t="s">
        <v>82</v>
      </c>
      <c r="D50" s="308">
        <f>AVERAGE(E38:E41,G38:G41)</f>
        <v>3276843.2294702423</v>
      </c>
      <c r="F50" s="309"/>
      <c r="H50" s="289"/>
    </row>
    <row r="51" spans="1:12" ht="18.75" x14ac:dyDescent="0.3">
      <c r="C51" s="263" t="s">
        <v>83</v>
      </c>
      <c r="D51" s="310">
        <f>STDEV(E38:E41,G38:G41)/D50</f>
        <v>9.3211849324593178E-3</v>
      </c>
      <c r="F51" s="309"/>
      <c r="H51" s="289"/>
    </row>
    <row r="52" spans="1:12" ht="19.5" customHeight="1" x14ac:dyDescent="0.3">
      <c r="C52" s="311" t="s">
        <v>19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84</v>
      </c>
    </row>
    <row r="55" spans="1:12" ht="18.75" x14ac:dyDescent="0.3">
      <c r="A55" s="239" t="s">
        <v>85</v>
      </c>
      <c r="B55" s="315" t="str">
        <f>B21</f>
        <v>RIFAMPICIN 150mg, ISONIAZID 75mg, PYRAZINAMIDE 400mg &amp; ETHAMBUTOL HCl 275mg</v>
      </c>
    </row>
    <row r="56" spans="1:12" ht="26.25" customHeight="1" x14ac:dyDescent="0.4">
      <c r="A56" s="316" t="s">
        <v>86</v>
      </c>
      <c r="B56" s="317">
        <v>75</v>
      </c>
      <c r="C56" s="239" t="str">
        <f>B20</f>
        <v xml:space="preserve"> ISONIAZID</v>
      </c>
      <c r="H56" s="318"/>
    </row>
    <row r="57" spans="1:12" ht="18.75" x14ac:dyDescent="0.3">
      <c r="A57" s="315" t="s">
        <v>87</v>
      </c>
      <c r="B57" s="406">
        <f>Rifampicin!B57</f>
        <v>1261.9720000000002</v>
      </c>
      <c r="H57" s="318"/>
    </row>
    <row r="58" spans="1:12" ht="19.5" customHeight="1" x14ac:dyDescent="0.3">
      <c r="H58" s="318"/>
    </row>
    <row r="59" spans="1:12" s="14" customFormat="1" ht="27" customHeight="1" x14ac:dyDescent="0.4">
      <c r="A59" s="261" t="s">
        <v>88</v>
      </c>
      <c r="B59" s="262">
        <v>200</v>
      </c>
      <c r="C59" s="239"/>
      <c r="D59" s="319" t="s">
        <v>89</v>
      </c>
      <c r="E59" s="320" t="s">
        <v>61</v>
      </c>
      <c r="F59" s="320" t="s">
        <v>62</v>
      </c>
      <c r="G59" s="320" t="s">
        <v>90</v>
      </c>
      <c r="H59" s="265" t="s">
        <v>91</v>
      </c>
      <c r="L59" s="251"/>
    </row>
    <row r="60" spans="1:12" s="14" customFormat="1" ht="26.25" customHeight="1" x14ac:dyDescent="0.4">
      <c r="A60" s="263" t="s">
        <v>92</v>
      </c>
      <c r="B60" s="264">
        <v>4</v>
      </c>
      <c r="C60" s="890" t="s">
        <v>93</v>
      </c>
      <c r="D60" s="893">
        <f>Rifampicin!D60</f>
        <v>1275.26</v>
      </c>
      <c r="E60" s="321">
        <v>1</v>
      </c>
      <c r="F60" s="322">
        <v>3254489</v>
      </c>
      <c r="G60" s="407">
        <f>IF(ISBLANK(F60),"-",(F60/$D$50*$D$47*$B$68)*($B$57/$D$60))</f>
        <v>78.62634939720914</v>
      </c>
      <c r="H60" s="323">
        <f t="shared" ref="H60:H71" si="0">IF(ISBLANK(F60),"-",G60/$B$56)</f>
        <v>1.0483513252961218</v>
      </c>
      <c r="L60" s="251"/>
    </row>
    <row r="61" spans="1:12" s="14" customFormat="1" ht="26.25" customHeight="1" x14ac:dyDescent="0.4">
      <c r="A61" s="263" t="s">
        <v>94</v>
      </c>
      <c r="B61" s="264">
        <v>20</v>
      </c>
      <c r="C61" s="891"/>
      <c r="D61" s="894"/>
      <c r="E61" s="324">
        <v>2</v>
      </c>
      <c r="F61" s="276">
        <v>3247320</v>
      </c>
      <c r="G61" s="408">
        <f>IF(ISBLANK(F61),"-",(F61/$D$50*$D$47*$B$68)*($B$57/$D$60))</f>
        <v>78.453150993764382</v>
      </c>
      <c r="H61" s="325">
        <f t="shared" si="0"/>
        <v>1.0460420132501917</v>
      </c>
      <c r="L61" s="251"/>
    </row>
    <row r="62" spans="1:12" s="14" customFormat="1" ht="26.25" customHeight="1" x14ac:dyDescent="0.4">
      <c r="A62" s="263" t="s">
        <v>95</v>
      </c>
      <c r="B62" s="264">
        <v>1</v>
      </c>
      <c r="C62" s="891"/>
      <c r="D62" s="894"/>
      <c r="E62" s="324">
        <v>3</v>
      </c>
      <c r="F62" s="326">
        <v>3243348</v>
      </c>
      <c r="G62" s="408">
        <f>IF(ISBLANK(F62),"-",(F62/$D$50*$D$47*$B$68)*($B$57/$D$60))</f>
        <v>78.357190042657834</v>
      </c>
      <c r="H62" s="325">
        <f t="shared" si="0"/>
        <v>1.0447625339021045</v>
      </c>
      <c r="L62" s="251"/>
    </row>
    <row r="63" spans="1:12" ht="27" customHeight="1" x14ac:dyDescent="0.4">
      <c r="A63" s="263" t="s">
        <v>96</v>
      </c>
      <c r="B63" s="264">
        <v>1</v>
      </c>
      <c r="C63" s="892"/>
      <c r="D63" s="895"/>
      <c r="E63" s="327">
        <v>4</v>
      </c>
      <c r="F63" s="328"/>
      <c r="G63" s="408" t="str">
        <f>IF(ISBLANK(F63),"-",(F63/$D$50*$D$47*$B$68)*($B$57/$D$60))</f>
        <v>-</v>
      </c>
      <c r="H63" s="325" t="str">
        <f t="shared" si="0"/>
        <v>-</v>
      </c>
    </row>
    <row r="64" spans="1:12" ht="26.25" customHeight="1" x14ac:dyDescent="0.4">
      <c r="A64" s="263" t="s">
        <v>97</v>
      </c>
      <c r="B64" s="264">
        <v>1</v>
      </c>
      <c r="C64" s="890" t="s">
        <v>98</v>
      </c>
      <c r="D64" s="893">
        <f>Rifampicin!D64</f>
        <v>1262.27</v>
      </c>
      <c r="E64" s="321">
        <v>1</v>
      </c>
      <c r="F64" s="322">
        <v>3082844</v>
      </c>
      <c r="G64" s="409">
        <f>IF(ISBLANK(F64),"-",(F64/$D$50*$D$47*$B$68)*($B$57/$D$64))</f>
        <v>75.245984706593845</v>
      </c>
      <c r="H64" s="329">
        <f t="shared" si="0"/>
        <v>1.0032797960879178</v>
      </c>
    </row>
    <row r="65" spans="1:8" ht="26.25" customHeight="1" x14ac:dyDescent="0.4">
      <c r="A65" s="263" t="s">
        <v>99</v>
      </c>
      <c r="B65" s="264">
        <v>1</v>
      </c>
      <c r="C65" s="891"/>
      <c r="D65" s="894"/>
      <c r="E65" s="324">
        <v>2</v>
      </c>
      <c r="F65" s="276">
        <v>3084621</v>
      </c>
      <c r="G65" s="410">
        <f>IF(ISBLANK(F65),"-",(F65/$D$50*$D$47*$B$68)*($B$57/$D$64))</f>
        <v>75.289357681296309</v>
      </c>
      <c r="H65" s="330">
        <f t="shared" si="0"/>
        <v>1.0038581024172841</v>
      </c>
    </row>
    <row r="66" spans="1:8" ht="26.25" customHeight="1" x14ac:dyDescent="0.4">
      <c r="A66" s="263" t="s">
        <v>100</v>
      </c>
      <c r="B66" s="264">
        <v>1</v>
      </c>
      <c r="C66" s="891"/>
      <c r="D66" s="894"/>
      <c r="E66" s="324">
        <v>3</v>
      </c>
      <c r="F66" s="276">
        <v>3078057</v>
      </c>
      <c r="G66" s="410">
        <f>IF(ISBLANK(F66),"-",(F66/$D$50*$D$47*$B$68)*($B$57/$D$64))</f>
        <v>75.129143721843903</v>
      </c>
      <c r="H66" s="330">
        <f t="shared" si="0"/>
        <v>1.0017219162912521</v>
      </c>
    </row>
    <row r="67" spans="1:8" ht="27" customHeight="1" x14ac:dyDescent="0.4">
      <c r="A67" s="263" t="s">
        <v>101</v>
      </c>
      <c r="B67" s="264">
        <v>1</v>
      </c>
      <c r="C67" s="892"/>
      <c r="D67" s="895"/>
      <c r="E67" s="327">
        <v>4</v>
      </c>
      <c r="F67" s="328"/>
      <c r="G67" s="411" t="str">
        <f>IF(ISBLANK(F67),"-",(F67/$D$50*$D$47*$B$68)*($B$57/$D$64))</f>
        <v>-</v>
      </c>
      <c r="H67" s="331" t="str">
        <f t="shared" si="0"/>
        <v>-</v>
      </c>
    </row>
    <row r="68" spans="1:8" ht="26.25" customHeight="1" x14ac:dyDescent="0.4">
      <c r="A68" s="263" t="s">
        <v>102</v>
      </c>
      <c r="B68" s="332">
        <f>(B67/B66)*(B65/B64)*(B63/B62)*(B61/B60)*B59</f>
        <v>1000</v>
      </c>
      <c r="C68" s="890" t="s">
        <v>103</v>
      </c>
      <c r="D68" s="893">
        <f>Rifampicin!D68</f>
        <v>1247.8900000000001</v>
      </c>
      <c r="E68" s="321">
        <v>1</v>
      </c>
      <c r="F68" s="322">
        <v>3077255</v>
      </c>
      <c r="G68" s="409">
        <f>IF(ISBLANK(F68),"-",(F68/$D$50*$D$47*$B$68)*($B$57/$D$68))</f>
        <v>75.975090001040485</v>
      </c>
      <c r="H68" s="325">
        <f t="shared" si="0"/>
        <v>1.0130012000138731</v>
      </c>
    </row>
    <row r="69" spans="1:8" ht="27" customHeight="1" x14ac:dyDescent="0.4">
      <c r="A69" s="311" t="s">
        <v>104</v>
      </c>
      <c r="B69" s="333">
        <f>(D47*B68)/B56*B57</f>
        <v>1346.1034666666669</v>
      </c>
      <c r="C69" s="891"/>
      <c r="D69" s="894"/>
      <c r="E69" s="324">
        <v>2</v>
      </c>
      <c r="F69" s="276">
        <v>3086664</v>
      </c>
      <c r="G69" s="410">
        <f>IF(ISBLANK(F69),"-",(F69/$D$50*$D$47*$B$68)*($B$57/$D$68))</f>
        <v>76.207391068654232</v>
      </c>
      <c r="H69" s="325">
        <f t="shared" si="0"/>
        <v>1.0160985475820565</v>
      </c>
    </row>
    <row r="70" spans="1:8" ht="26.25" customHeight="1" x14ac:dyDescent="0.4">
      <c r="A70" s="903" t="s">
        <v>77</v>
      </c>
      <c r="B70" s="904"/>
      <c r="C70" s="891"/>
      <c r="D70" s="894"/>
      <c r="E70" s="324">
        <v>3</v>
      </c>
      <c r="F70" s="276">
        <v>3087750</v>
      </c>
      <c r="G70" s="410">
        <f>IF(ISBLANK(F70),"-",(F70/$D$50*$D$47*$B$68)*($B$57/$D$68))</f>
        <v>76.234203584269991</v>
      </c>
      <c r="H70" s="325">
        <f t="shared" si="0"/>
        <v>1.0164560477902667</v>
      </c>
    </row>
    <row r="71" spans="1:8" ht="27" customHeight="1" x14ac:dyDescent="0.4">
      <c r="A71" s="905"/>
      <c r="B71" s="906"/>
      <c r="C71" s="902"/>
      <c r="D71" s="895"/>
      <c r="E71" s="327">
        <v>4</v>
      </c>
      <c r="F71" s="328"/>
      <c r="G71" s="411" t="str">
        <f>IF(ISBLANK(F71),"-",(F71/$D$50*$D$47*$B$68)*($B$57/$D$68))</f>
        <v>-</v>
      </c>
      <c r="H71" s="334" t="str">
        <f t="shared" si="0"/>
        <v>-</v>
      </c>
    </row>
    <row r="72" spans="1:8" ht="26.25" customHeight="1" x14ac:dyDescent="0.4">
      <c r="A72" s="335"/>
      <c r="B72" s="335"/>
      <c r="C72" s="335"/>
      <c r="D72" s="335"/>
      <c r="E72" s="335"/>
      <c r="F72" s="337" t="s">
        <v>70</v>
      </c>
      <c r="G72" s="416">
        <f>AVERAGE(G60:G71)</f>
        <v>76.613095688592239</v>
      </c>
      <c r="H72" s="338">
        <f>AVERAGE(H60:H71)</f>
        <v>1.0215079425145634</v>
      </c>
    </row>
    <row r="73" spans="1:8" ht="26.25" customHeight="1" x14ac:dyDescent="0.4">
      <c r="C73" s="335"/>
      <c r="D73" s="335"/>
      <c r="E73" s="335"/>
      <c r="F73" s="339" t="s">
        <v>83</v>
      </c>
      <c r="G73" s="412">
        <f>STDEV(G60:G71)/G72</f>
        <v>1.9038152780133617E-2</v>
      </c>
      <c r="H73" s="412">
        <f>STDEV(H60:H71)/H72</f>
        <v>1.9038152780133617E-2</v>
      </c>
    </row>
    <row r="74" spans="1:8" ht="27" customHeight="1" x14ac:dyDescent="0.4">
      <c r="A74" s="335"/>
      <c r="B74" s="335"/>
      <c r="C74" s="336"/>
      <c r="D74" s="336"/>
      <c r="E74" s="340"/>
      <c r="F74" s="341" t="s">
        <v>19</v>
      </c>
      <c r="G74" s="342">
        <f>COUNT(G60:G71)</f>
        <v>9</v>
      </c>
      <c r="H74" s="342">
        <f>COUNT(H60:H71)</f>
        <v>9</v>
      </c>
    </row>
    <row r="76" spans="1:8" ht="26.25" customHeight="1" x14ac:dyDescent="0.4">
      <c r="A76" s="247" t="s">
        <v>105</v>
      </c>
      <c r="B76" s="343" t="s">
        <v>106</v>
      </c>
      <c r="C76" s="898" t="str">
        <f>B20</f>
        <v xml:space="preserve"> ISONIAZID</v>
      </c>
      <c r="D76" s="898"/>
      <c r="E76" s="344" t="s">
        <v>107</v>
      </c>
      <c r="F76" s="344"/>
      <c r="G76" s="345">
        <f>H72</f>
        <v>1.0215079425145634</v>
      </c>
      <c r="H76" s="346"/>
    </row>
    <row r="77" spans="1:8" ht="18.75" x14ac:dyDescent="0.3">
      <c r="A77" s="246" t="s">
        <v>108</v>
      </c>
      <c r="B77" s="246" t="s">
        <v>109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884" t="str">
        <f>B26</f>
        <v>ISONIAZID</v>
      </c>
      <c r="C79" s="884"/>
    </row>
    <row r="80" spans="1:8" ht="26.25" customHeight="1" x14ac:dyDescent="0.4">
      <c r="A80" s="248" t="s">
        <v>47</v>
      </c>
      <c r="B80" s="884" t="str">
        <f>B27</f>
        <v xml:space="preserve">I8 2 </v>
      </c>
      <c r="C80" s="884"/>
    </row>
    <row r="81" spans="1:12" ht="27" customHeight="1" x14ac:dyDescent="0.4">
      <c r="A81" s="248" t="s">
        <v>6</v>
      </c>
      <c r="B81" s="347">
        <f>B28</f>
        <v>98.5</v>
      </c>
    </row>
    <row r="82" spans="1:12" s="14" customFormat="1" ht="27" customHeight="1" x14ac:dyDescent="0.4">
      <c r="A82" s="248" t="s">
        <v>48</v>
      </c>
      <c r="B82" s="250">
        <v>0</v>
      </c>
      <c r="C82" s="875" t="s">
        <v>49</v>
      </c>
      <c r="D82" s="876"/>
      <c r="E82" s="876"/>
      <c r="F82" s="876"/>
      <c r="G82" s="877"/>
      <c r="I82" s="251"/>
      <c r="J82" s="251"/>
      <c r="K82" s="251"/>
      <c r="L82" s="251"/>
    </row>
    <row r="83" spans="1:12" s="14" customFormat="1" ht="19.5" customHeight="1" x14ac:dyDescent="0.3">
      <c r="A83" s="248" t="s">
        <v>50</v>
      </c>
      <c r="B83" s="252">
        <f>B81-B82</f>
        <v>98.5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14" customFormat="1" ht="27" customHeight="1" x14ac:dyDescent="0.4">
      <c r="A84" s="248" t="s">
        <v>51</v>
      </c>
      <c r="B84" s="255">
        <v>1</v>
      </c>
      <c r="C84" s="878" t="s">
        <v>110</v>
      </c>
      <c r="D84" s="879"/>
      <c r="E84" s="879"/>
      <c r="F84" s="879"/>
      <c r="G84" s="879"/>
      <c r="H84" s="880"/>
      <c r="I84" s="251"/>
      <c r="J84" s="251"/>
      <c r="K84" s="251"/>
      <c r="L84" s="251"/>
    </row>
    <row r="85" spans="1:12" s="14" customFormat="1" ht="27" customHeight="1" x14ac:dyDescent="0.4">
      <c r="A85" s="248" t="s">
        <v>53</v>
      </c>
      <c r="B85" s="255">
        <v>1</v>
      </c>
      <c r="C85" s="878" t="s">
        <v>111</v>
      </c>
      <c r="D85" s="879"/>
      <c r="E85" s="879"/>
      <c r="F85" s="879"/>
      <c r="G85" s="879"/>
      <c r="H85" s="880"/>
      <c r="I85" s="251"/>
      <c r="J85" s="251"/>
      <c r="K85" s="251"/>
      <c r="L85" s="251"/>
    </row>
    <row r="86" spans="1:12" s="14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14" customFormat="1" ht="18.75" x14ac:dyDescent="0.3">
      <c r="A87" s="248" t="s">
        <v>55</v>
      </c>
      <c r="B87" s="260">
        <f>B84/B85</f>
        <v>1</v>
      </c>
      <c r="C87" s="239" t="s">
        <v>56</v>
      </c>
      <c r="D87" s="239"/>
      <c r="E87" s="239"/>
      <c r="F87" s="239"/>
      <c r="G87" s="239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57</v>
      </c>
      <c r="B89" s="262">
        <v>100</v>
      </c>
      <c r="D89" s="348" t="s">
        <v>58</v>
      </c>
      <c r="E89" s="349"/>
      <c r="F89" s="881" t="s">
        <v>59</v>
      </c>
      <c r="G89" s="883"/>
    </row>
    <row r="90" spans="1:12" ht="27" customHeight="1" x14ac:dyDescent="0.4">
      <c r="A90" s="263" t="s">
        <v>60</v>
      </c>
      <c r="B90" s="264">
        <v>1</v>
      </c>
      <c r="C90" s="350" t="s">
        <v>61</v>
      </c>
      <c r="D90" s="266" t="s">
        <v>62</v>
      </c>
      <c r="E90" s="267" t="s">
        <v>63</v>
      </c>
      <c r="F90" s="266" t="s">
        <v>62</v>
      </c>
      <c r="G90" s="351" t="s">
        <v>63</v>
      </c>
      <c r="I90" s="269" t="s">
        <v>64</v>
      </c>
    </row>
    <row r="91" spans="1:12" ht="26.25" customHeight="1" x14ac:dyDescent="0.4">
      <c r="A91" s="263" t="s">
        <v>65</v>
      </c>
      <c r="B91" s="264">
        <v>1</v>
      </c>
      <c r="C91" s="352">
        <v>1</v>
      </c>
      <c r="D91" s="600">
        <v>4139957</v>
      </c>
      <c r="E91" s="272">
        <f>IF(ISBLANK(D91),"-",$D$101/$D$98*D91)</f>
        <v>3384059.6058428762</v>
      </c>
      <c r="F91" s="600">
        <v>3431404</v>
      </c>
      <c r="G91" s="273">
        <f>IF(ISBLANK(F91),"-",$D$101/$F$98*F91)</f>
        <v>3443711.8260663608</v>
      </c>
      <c r="I91" s="274"/>
    </row>
    <row r="92" spans="1:12" ht="26.25" customHeight="1" x14ac:dyDescent="0.4">
      <c r="A92" s="263" t="s">
        <v>66</v>
      </c>
      <c r="B92" s="264">
        <v>1</v>
      </c>
      <c r="C92" s="336">
        <v>2</v>
      </c>
      <c r="D92" s="601">
        <v>4144306</v>
      </c>
      <c r="E92" s="277">
        <f>IF(ISBLANK(D92),"-",$D$101/$D$98*D92)</f>
        <v>3387614.540163646</v>
      </c>
      <c r="F92" s="601">
        <v>3431097</v>
      </c>
      <c r="G92" s="278">
        <f>IF(ISBLANK(F92),"-",$D$101/$F$98*F92)</f>
        <v>3443403.7249128381</v>
      </c>
      <c r="I92" s="885">
        <f>ABS((F96/D96*D95)-F95)/D95</f>
        <v>1.3941871596376346E-2</v>
      </c>
    </row>
    <row r="93" spans="1:12" ht="26.25" customHeight="1" x14ac:dyDescent="0.4">
      <c r="A93" s="263" t="s">
        <v>67</v>
      </c>
      <c r="B93" s="264">
        <v>1</v>
      </c>
      <c r="C93" s="336">
        <v>3</v>
      </c>
      <c r="D93" s="601">
        <v>4136903</v>
      </c>
      <c r="E93" s="277">
        <f>IF(ISBLANK(D93),"-",$D$101/$D$98*D93)</f>
        <v>3381563.2229006756</v>
      </c>
      <c r="F93" s="601">
        <v>3427623</v>
      </c>
      <c r="G93" s="278">
        <f>IF(ISBLANK(F93),"-",$D$101/$F$98*F93)</f>
        <v>3439917.2643026169</v>
      </c>
      <c r="I93" s="885"/>
    </row>
    <row r="94" spans="1:12" ht="27" customHeight="1" x14ac:dyDescent="0.4">
      <c r="A94" s="263" t="s">
        <v>68</v>
      </c>
      <c r="B94" s="264">
        <v>1</v>
      </c>
      <c r="C94" s="353">
        <v>4</v>
      </c>
      <c r="D94" s="602"/>
      <c r="E94" s="282" t="str">
        <f>IF(ISBLANK(D94),"-",$D$101/$D$98*D94)</f>
        <v>-</v>
      </c>
      <c r="F94" s="602"/>
      <c r="G94" s="283" t="str">
        <f>IF(ISBLANK(F94),"-",$D$101/$F$98*F94)</f>
        <v>-</v>
      </c>
      <c r="I94" s="284"/>
    </row>
    <row r="95" spans="1:12" ht="27" customHeight="1" x14ac:dyDescent="0.4">
      <c r="A95" s="263" t="s">
        <v>69</v>
      </c>
      <c r="B95" s="264">
        <v>1</v>
      </c>
      <c r="C95" s="354" t="s">
        <v>70</v>
      </c>
      <c r="D95" s="355">
        <f>AVERAGE(D91:D94)</f>
        <v>4140388.6666666665</v>
      </c>
      <c r="E95" s="287">
        <f>AVERAGE(E91:E94)</f>
        <v>3384412.4563023993</v>
      </c>
      <c r="F95" s="356">
        <f>AVERAGE(F91:F94)</f>
        <v>3430041.3333333335</v>
      </c>
      <c r="G95" s="357">
        <f>AVERAGE(G91:G94)</f>
        <v>3442344.2717606053</v>
      </c>
    </row>
    <row r="96" spans="1:12" ht="26.25" customHeight="1" x14ac:dyDescent="0.4">
      <c r="A96" s="263" t="s">
        <v>71</v>
      </c>
      <c r="B96" s="249">
        <v>1</v>
      </c>
      <c r="C96" s="358" t="s">
        <v>112</v>
      </c>
      <c r="D96" s="359">
        <f>D43</f>
        <v>10.35</v>
      </c>
      <c r="E96" s="279"/>
      <c r="F96" s="291">
        <f>F43</f>
        <v>8.43</v>
      </c>
    </row>
    <row r="97" spans="1:10" ht="26.25" customHeight="1" x14ac:dyDescent="0.4">
      <c r="A97" s="263" t="s">
        <v>73</v>
      </c>
      <c r="B97" s="249">
        <v>1</v>
      </c>
      <c r="C97" s="360" t="s">
        <v>113</v>
      </c>
      <c r="D97" s="361">
        <f>D96*$B$87</f>
        <v>10.35</v>
      </c>
      <c r="E97" s="294"/>
      <c r="F97" s="293">
        <f>F96*$B$87</f>
        <v>8.43</v>
      </c>
    </row>
    <row r="98" spans="1:10" ht="19.5" customHeight="1" x14ac:dyDescent="0.3">
      <c r="A98" s="263" t="s">
        <v>75</v>
      </c>
      <c r="B98" s="362">
        <f>(B97/B96)*(B95/B94)*(B93/B92)*(B91/B90)*B89</f>
        <v>100</v>
      </c>
      <c r="C98" s="360" t="s">
        <v>114</v>
      </c>
      <c r="D98" s="363">
        <f>D97*$B$83/100</f>
        <v>10.194749999999999</v>
      </c>
      <c r="E98" s="297"/>
      <c r="F98" s="296">
        <f>F97*$B$83/100</f>
        <v>8.3035499999999995</v>
      </c>
    </row>
    <row r="99" spans="1:10" ht="19.5" customHeight="1" x14ac:dyDescent="0.3">
      <c r="A99" s="886" t="s">
        <v>77</v>
      </c>
      <c r="B99" s="900"/>
      <c r="C99" s="360" t="s">
        <v>115</v>
      </c>
      <c r="D99" s="364">
        <f>D98/$B$98</f>
        <v>0.1019475</v>
      </c>
      <c r="E99" s="297"/>
      <c r="F99" s="300">
        <f>F98/$B$98</f>
        <v>8.3035499999999998E-2</v>
      </c>
      <c r="G99" s="365"/>
      <c r="H99" s="289"/>
    </row>
    <row r="100" spans="1:10" ht="19.5" customHeight="1" x14ac:dyDescent="0.3">
      <c r="A100" s="888"/>
      <c r="B100" s="901"/>
      <c r="C100" s="360" t="s">
        <v>79</v>
      </c>
      <c r="D100" s="366">
        <f>$B$56/$B$116</f>
        <v>8.3333333333333329E-2</v>
      </c>
      <c r="F100" s="305"/>
      <c r="G100" s="367"/>
      <c r="H100" s="289"/>
    </row>
    <row r="101" spans="1:10" ht="18.75" x14ac:dyDescent="0.3">
      <c r="C101" s="360" t="s">
        <v>80</v>
      </c>
      <c r="D101" s="361">
        <f>D100*$B$98</f>
        <v>8.3333333333333321</v>
      </c>
      <c r="F101" s="305"/>
      <c r="G101" s="365"/>
      <c r="H101" s="289"/>
    </row>
    <row r="102" spans="1:10" ht="19.5" customHeight="1" x14ac:dyDescent="0.3">
      <c r="C102" s="368" t="s">
        <v>81</v>
      </c>
      <c r="D102" s="369">
        <f>D101/B34</f>
        <v>8.3333333333333321</v>
      </c>
      <c r="F102" s="309"/>
      <c r="G102" s="365"/>
      <c r="H102" s="289"/>
      <c r="J102" s="370"/>
    </row>
    <row r="103" spans="1:10" ht="18.75" x14ac:dyDescent="0.3">
      <c r="C103" s="371" t="s">
        <v>116</v>
      </c>
      <c r="D103" s="372">
        <f>AVERAGE(E91:E94,G91:G94)</f>
        <v>3413378.3640315025</v>
      </c>
      <c r="F103" s="309"/>
      <c r="G103" s="373"/>
      <c r="H103" s="289"/>
      <c r="J103" s="374"/>
    </row>
    <row r="104" spans="1:10" ht="18.75" x14ac:dyDescent="0.3">
      <c r="C104" s="339" t="s">
        <v>83</v>
      </c>
      <c r="D104" s="375">
        <f>STDEV(E91:E94,G91:G94)/D103</f>
        <v>9.3211849324592901E-3</v>
      </c>
      <c r="F104" s="309"/>
      <c r="G104" s="365"/>
      <c r="H104" s="289"/>
      <c r="J104" s="374"/>
    </row>
    <row r="105" spans="1:10" ht="19.5" customHeight="1" x14ac:dyDescent="0.3">
      <c r="C105" s="341" t="s">
        <v>19</v>
      </c>
      <c r="D105" s="376">
        <f>COUNT(E91:E94,G91:G94)</f>
        <v>6</v>
      </c>
      <c r="F105" s="309"/>
      <c r="G105" s="365"/>
      <c r="H105" s="289"/>
      <c r="J105" s="374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6.25" customHeight="1" x14ac:dyDescent="0.4">
      <c r="A107" s="261" t="s">
        <v>117</v>
      </c>
      <c r="B107" s="262">
        <v>900</v>
      </c>
      <c r="C107" s="377" t="s">
        <v>118</v>
      </c>
      <c r="D107" s="378" t="s">
        <v>62</v>
      </c>
      <c r="E107" s="379" t="s">
        <v>119</v>
      </c>
      <c r="F107" s="380" t="s">
        <v>120</v>
      </c>
    </row>
    <row r="108" spans="1:10" ht="26.25" customHeight="1" x14ac:dyDescent="0.4">
      <c r="A108" s="263" t="s">
        <v>121</v>
      </c>
      <c r="B108" s="264">
        <v>1</v>
      </c>
      <c r="C108" s="381">
        <v>1</v>
      </c>
      <c r="D108" s="382">
        <v>3063104</v>
      </c>
      <c r="E108" s="413">
        <f t="shared" ref="E108:E113" si="1">IF(ISBLANK(D108),"-",D108/$D$103*$D$100*$B$116)</f>
        <v>67.303643340805962</v>
      </c>
      <c r="F108" s="383">
        <f t="shared" ref="F108:F113" si="2">IF(ISBLANK(D108), "-", E108/$B$56)</f>
        <v>0.89738191121074617</v>
      </c>
    </row>
    <row r="109" spans="1:10" ht="26.25" customHeight="1" x14ac:dyDescent="0.4">
      <c r="A109" s="263" t="s">
        <v>94</v>
      </c>
      <c r="B109" s="264">
        <v>1</v>
      </c>
      <c r="C109" s="381">
        <v>2</v>
      </c>
      <c r="D109" s="382">
        <v>3080481</v>
      </c>
      <c r="E109" s="414">
        <f t="shared" si="1"/>
        <v>67.685457151350164</v>
      </c>
      <c r="F109" s="384">
        <f t="shared" si="2"/>
        <v>0.90247276201800219</v>
      </c>
    </row>
    <row r="110" spans="1:10" ht="26.25" customHeight="1" x14ac:dyDescent="0.4">
      <c r="A110" s="263" t="s">
        <v>95</v>
      </c>
      <c r="B110" s="264">
        <v>1</v>
      </c>
      <c r="C110" s="381">
        <v>3</v>
      </c>
      <c r="D110" s="382">
        <v>3092320</v>
      </c>
      <c r="E110" s="414">
        <f t="shared" si="1"/>
        <v>67.945587996895014</v>
      </c>
      <c r="F110" s="384">
        <f t="shared" si="2"/>
        <v>0.90594117329193358</v>
      </c>
    </row>
    <row r="111" spans="1:10" ht="26.25" customHeight="1" x14ac:dyDescent="0.4">
      <c r="A111" s="263" t="s">
        <v>96</v>
      </c>
      <c r="B111" s="264">
        <v>1</v>
      </c>
      <c r="C111" s="381">
        <v>4</v>
      </c>
      <c r="D111" s="382">
        <v>3090866</v>
      </c>
      <c r="E111" s="414">
        <f t="shared" si="1"/>
        <v>67.913640176181929</v>
      </c>
      <c r="F111" s="384">
        <f t="shared" si="2"/>
        <v>0.90551520234909233</v>
      </c>
    </row>
    <row r="112" spans="1:10" ht="26.25" customHeight="1" x14ac:dyDescent="0.4">
      <c r="A112" s="263" t="s">
        <v>97</v>
      </c>
      <c r="B112" s="264">
        <v>1</v>
      </c>
      <c r="C112" s="381">
        <v>5</v>
      </c>
      <c r="D112" s="382">
        <v>3075007</v>
      </c>
      <c r="E112" s="414">
        <f t="shared" si="1"/>
        <v>67.56518041779897</v>
      </c>
      <c r="F112" s="384">
        <f t="shared" si="2"/>
        <v>0.9008690722373196</v>
      </c>
    </row>
    <row r="113" spans="1:10" ht="26.25" customHeight="1" x14ac:dyDescent="0.4">
      <c r="A113" s="263" t="s">
        <v>99</v>
      </c>
      <c r="B113" s="264">
        <v>1</v>
      </c>
      <c r="C113" s="385">
        <v>6</v>
      </c>
      <c r="D113" s="386">
        <v>3078258</v>
      </c>
      <c r="E113" s="415">
        <f t="shared" si="1"/>
        <v>67.636612580892674</v>
      </c>
      <c r="F113" s="387">
        <f t="shared" si="2"/>
        <v>0.90182150107856895</v>
      </c>
    </row>
    <row r="114" spans="1:10" ht="26.25" customHeight="1" x14ac:dyDescent="0.4">
      <c r="A114" s="263" t="s">
        <v>100</v>
      </c>
      <c r="B114" s="264">
        <v>1</v>
      </c>
      <c r="C114" s="381"/>
      <c r="D114" s="336"/>
      <c r="E114" s="238"/>
      <c r="F114" s="388"/>
    </row>
    <row r="115" spans="1:10" ht="26.25" customHeight="1" x14ac:dyDescent="0.4">
      <c r="A115" s="263" t="s">
        <v>101</v>
      </c>
      <c r="B115" s="264">
        <v>1</v>
      </c>
      <c r="C115" s="381"/>
      <c r="D115" s="389" t="s">
        <v>70</v>
      </c>
      <c r="E115" s="417">
        <f>AVERAGE(E108:E113)</f>
        <v>67.675020277320797</v>
      </c>
      <c r="F115" s="390">
        <f>AVERAGE(F108:F113)</f>
        <v>0.90233360369761051</v>
      </c>
    </row>
    <row r="116" spans="1:10" ht="27" customHeight="1" x14ac:dyDescent="0.4">
      <c r="A116" s="263" t="s">
        <v>102</v>
      </c>
      <c r="B116" s="295">
        <f>(B115/B114)*(B113/B112)*(B111/B110)*(B109/B108)*B107</f>
        <v>900</v>
      </c>
      <c r="C116" s="391"/>
      <c r="D116" s="354" t="s">
        <v>83</v>
      </c>
      <c r="E116" s="392">
        <f>STDEV(E108:E113)/E115</f>
        <v>3.5074573487155866E-3</v>
      </c>
      <c r="F116" s="392">
        <f>STDEV(F108:F113)/F115</f>
        <v>3.5074573487155862E-3</v>
      </c>
      <c r="I116" s="238"/>
    </row>
    <row r="117" spans="1:10" ht="27" customHeight="1" x14ac:dyDescent="0.4">
      <c r="A117" s="886" t="s">
        <v>77</v>
      </c>
      <c r="B117" s="887"/>
      <c r="C117" s="393"/>
      <c r="D117" s="394" t="s">
        <v>19</v>
      </c>
      <c r="E117" s="395">
        <f>COUNT(E108:E113)</f>
        <v>6</v>
      </c>
      <c r="F117" s="395">
        <f>COUNT(F108:F113)</f>
        <v>6</v>
      </c>
      <c r="I117" s="238"/>
      <c r="J117" s="374"/>
    </row>
    <row r="118" spans="1:10" ht="19.5" customHeight="1" x14ac:dyDescent="0.3">
      <c r="A118" s="888"/>
      <c r="B118" s="889"/>
      <c r="C118" s="238"/>
      <c r="D118" s="238"/>
      <c r="E118" s="238"/>
      <c r="F118" s="336"/>
      <c r="G118" s="238"/>
      <c r="H118" s="238"/>
      <c r="I118" s="238"/>
    </row>
    <row r="119" spans="1:10" ht="18.75" x14ac:dyDescent="0.3">
      <c r="A119" s="404"/>
      <c r="B119" s="259"/>
      <c r="C119" s="238"/>
      <c r="D119" s="238"/>
      <c r="E119" s="238"/>
      <c r="F119" s="336"/>
      <c r="G119" s="238"/>
      <c r="H119" s="238"/>
      <c r="I119" s="238"/>
    </row>
    <row r="120" spans="1:10" ht="26.25" customHeight="1" x14ac:dyDescent="0.4">
      <c r="A120" s="247" t="s">
        <v>105</v>
      </c>
      <c r="B120" s="343" t="s">
        <v>122</v>
      </c>
      <c r="C120" s="898" t="str">
        <f>B20</f>
        <v xml:space="preserve"> ISONIAZID</v>
      </c>
      <c r="D120" s="898"/>
      <c r="E120" s="344" t="s">
        <v>123</v>
      </c>
      <c r="F120" s="344"/>
      <c r="G120" s="345">
        <f>F115</f>
        <v>0.90233360369761051</v>
      </c>
      <c r="H120" s="238"/>
      <c r="I120" s="238"/>
    </row>
    <row r="121" spans="1:10" ht="19.5" customHeight="1" x14ac:dyDescent="0.3">
      <c r="A121" s="396"/>
      <c r="B121" s="396"/>
      <c r="C121" s="397"/>
      <c r="D121" s="397"/>
      <c r="E121" s="397"/>
      <c r="F121" s="397"/>
      <c r="G121" s="397"/>
      <c r="H121" s="397"/>
    </row>
    <row r="122" spans="1:10" ht="18.75" x14ac:dyDescent="0.3">
      <c r="B122" s="899" t="s">
        <v>25</v>
      </c>
      <c r="C122" s="899"/>
      <c r="E122" s="350" t="s">
        <v>26</v>
      </c>
      <c r="F122" s="398"/>
      <c r="G122" s="899" t="s">
        <v>27</v>
      </c>
      <c r="H122" s="899"/>
    </row>
    <row r="123" spans="1:10" ht="69.95" customHeight="1" x14ac:dyDescent="0.3">
      <c r="A123" s="399" t="s">
        <v>28</v>
      </c>
      <c r="B123" s="400"/>
      <c r="C123" s="400"/>
      <c r="E123" s="400"/>
      <c r="F123" s="238"/>
      <c r="G123" s="401"/>
      <c r="H123" s="401"/>
    </row>
    <row r="124" spans="1:10" ht="69.95" customHeight="1" x14ac:dyDescent="0.3">
      <c r="A124" s="399" t="s">
        <v>29</v>
      </c>
      <c r="B124" s="402"/>
      <c r="C124" s="402"/>
      <c r="E124" s="402"/>
      <c r="F124" s="238"/>
      <c r="G124" s="403"/>
      <c r="H124" s="403"/>
    </row>
    <row r="125" spans="1:10" ht="18.75" x14ac:dyDescent="0.3">
      <c r="A125" s="335"/>
      <c r="B125" s="335"/>
      <c r="C125" s="336"/>
      <c r="D125" s="336"/>
      <c r="E125" s="336"/>
      <c r="F125" s="340"/>
      <c r="G125" s="336"/>
      <c r="H125" s="336"/>
      <c r="I125" s="238"/>
    </row>
    <row r="126" spans="1:10" ht="18.75" x14ac:dyDescent="0.3">
      <c r="A126" s="335"/>
      <c r="B126" s="335"/>
      <c r="C126" s="336"/>
      <c r="D126" s="336"/>
      <c r="E126" s="336"/>
      <c r="F126" s="340"/>
      <c r="G126" s="336"/>
      <c r="H126" s="336"/>
      <c r="I126" s="238"/>
    </row>
    <row r="127" spans="1:10" ht="18.75" x14ac:dyDescent="0.3">
      <c r="A127" s="335"/>
      <c r="B127" s="335"/>
      <c r="C127" s="336"/>
      <c r="D127" s="336"/>
      <c r="E127" s="336"/>
      <c r="F127" s="340"/>
      <c r="G127" s="336"/>
      <c r="H127" s="336"/>
      <c r="I127" s="238"/>
    </row>
    <row r="128" spans="1:10" ht="18.75" x14ac:dyDescent="0.3">
      <c r="A128" s="335"/>
      <c r="B128" s="335"/>
      <c r="C128" s="336"/>
      <c r="D128" s="336"/>
      <c r="E128" s="336"/>
      <c r="F128" s="340"/>
      <c r="G128" s="336"/>
      <c r="H128" s="336"/>
      <c r="I128" s="238"/>
    </row>
    <row r="129" spans="1:9" ht="18.75" x14ac:dyDescent="0.3">
      <c r="A129" s="335"/>
      <c r="B129" s="335"/>
      <c r="C129" s="336"/>
      <c r="D129" s="336"/>
      <c r="E129" s="336"/>
      <c r="F129" s="340"/>
      <c r="G129" s="336"/>
      <c r="H129" s="336"/>
      <c r="I129" s="238"/>
    </row>
    <row r="130" spans="1:9" ht="18.75" x14ac:dyDescent="0.3">
      <c r="A130" s="335"/>
      <c r="B130" s="335"/>
      <c r="C130" s="336"/>
      <c r="D130" s="336"/>
      <c r="E130" s="336"/>
      <c r="F130" s="340"/>
      <c r="G130" s="336"/>
      <c r="H130" s="336"/>
      <c r="I130" s="238"/>
    </row>
    <row r="131" spans="1:9" ht="18.75" x14ac:dyDescent="0.3">
      <c r="A131" s="335"/>
      <c r="B131" s="335"/>
      <c r="C131" s="336"/>
      <c r="D131" s="336"/>
      <c r="E131" s="336"/>
      <c r="F131" s="340"/>
      <c r="G131" s="336"/>
      <c r="H131" s="336"/>
      <c r="I131" s="238"/>
    </row>
    <row r="132" spans="1:9" ht="18.75" x14ac:dyDescent="0.3">
      <c r="A132" s="335"/>
      <c r="B132" s="335"/>
      <c r="C132" s="336"/>
      <c r="D132" s="336"/>
      <c r="E132" s="336"/>
      <c r="F132" s="340"/>
      <c r="G132" s="336"/>
      <c r="H132" s="336"/>
      <c r="I132" s="238"/>
    </row>
    <row r="133" spans="1:9" ht="18.75" x14ac:dyDescent="0.3">
      <c r="A133" s="335"/>
      <c r="B133" s="335"/>
      <c r="C133" s="336"/>
      <c r="D133" s="336"/>
      <c r="E133" s="336"/>
      <c r="F133" s="340"/>
      <c r="G133" s="336"/>
      <c r="H133" s="336"/>
      <c r="I133" s="23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41" sqref="B41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653" t="str">
        <f>'SST I'!B19</f>
        <v>NDQD201511523</v>
      </c>
      <c r="C19" s="53"/>
      <c r="D19" s="53"/>
      <c r="E19" s="53"/>
    </row>
    <row r="20" spans="1:5" ht="16.5" customHeight="1" x14ac:dyDescent="0.3">
      <c r="A20" s="8" t="s">
        <v>7</v>
      </c>
      <c r="B20" s="12">
        <v>39.79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0.39789999999999998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9815537</v>
      </c>
      <c r="C24" s="18">
        <v>5823.9</v>
      </c>
      <c r="D24" s="19">
        <v>1.2</v>
      </c>
      <c r="E24" s="20">
        <v>3.1</v>
      </c>
    </row>
    <row r="25" spans="1:5" ht="16.5" customHeight="1" x14ac:dyDescent="0.3">
      <c r="A25" s="17">
        <v>2</v>
      </c>
      <c r="B25" s="18">
        <v>9806631</v>
      </c>
      <c r="C25" s="18">
        <v>5576.2</v>
      </c>
      <c r="D25" s="19">
        <v>1.1000000000000001</v>
      </c>
      <c r="E25" s="19">
        <v>3.1</v>
      </c>
    </row>
    <row r="26" spans="1:5" ht="16.5" customHeight="1" x14ac:dyDescent="0.3">
      <c r="A26" s="17">
        <v>3</v>
      </c>
      <c r="B26" s="18">
        <v>9804584</v>
      </c>
      <c r="C26" s="18">
        <v>5438.3</v>
      </c>
      <c r="D26" s="19">
        <v>1.1000000000000001</v>
      </c>
      <c r="E26" s="19">
        <v>3.1</v>
      </c>
    </row>
    <row r="27" spans="1:5" ht="16.5" customHeight="1" x14ac:dyDescent="0.3">
      <c r="A27" s="17">
        <v>4</v>
      </c>
      <c r="B27" s="18">
        <v>9804546</v>
      </c>
      <c r="C27" s="18">
        <v>5528.1</v>
      </c>
      <c r="D27" s="19">
        <v>1.2</v>
      </c>
      <c r="E27" s="19">
        <v>3.1</v>
      </c>
    </row>
    <row r="28" spans="1:5" ht="16.5" customHeight="1" x14ac:dyDescent="0.3">
      <c r="A28" s="17">
        <v>5</v>
      </c>
      <c r="B28" s="18">
        <v>9805854</v>
      </c>
      <c r="C28" s="18">
        <v>5555.8</v>
      </c>
      <c r="D28" s="19">
        <v>1.1000000000000001</v>
      </c>
      <c r="E28" s="19">
        <v>3.1</v>
      </c>
    </row>
    <row r="29" spans="1:5" ht="16.5" customHeight="1" x14ac:dyDescent="0.3">
      <c r="A29" s="17">
        <v>6</v>
      </c>
      <c r="B29" s="21">
        <v>9803327</v>
      </c>
      <c r="C29" s="21">
        <v>5658.6</v>
      </c>
      <c r="D29" s="22">
        <v>1.1000000000000001</v>
      </c>
      <c r="E29" s="22">
        <v>3.1</v>
      </c>
    </row>
    <row r="30" spans="1:5" ht="16.5" customHeight="1" x14ac:dyDescent="0.3">
      <c r="A30" s="23" t="s">
        <v>17</v>
      </c>
      <c r="B30" s="24">
        <f>AVERAGE(B24:B29)</f>
        <v>9806746.5</v>
      </c>
      <c r="C30" s="25">
        <f>AVERAGE(C24:C29)</f>
        <v>5596.8166666666666</v>
      </c>
      <c r="D30" s="26">
        <f>AVERAGE(D24:D29)</f>
        <v>1.1333333333333331</v>
      </c>
      <c r="E30" s="26">
        <f>AVERAGE(E24:E29)</f>
        <v>3.1</v>
      </c>
    </row>
    <row r="31" spans="1:5" ht="16.5" customHeight="1" x14ac:dyDescent="0.3">
      <c r="A31" s="27" t="s">
        <v>18</v>
      </c>
      <c r="B31" s="28">
        <f>(STDEV(B24:B29)/B30)</f>
        <v>4.5441469647548573E-4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B19</f>
        <v>NDQD201511523</v>
      </c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39.79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B41/100</f>
        <v>0.39789999999999998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9815537</v>
      </c>
      <c r="C45" s="18">
        <v>5823.9</v>
      </c>
      <c r="D45" s="19">
        <v>1.2</v>
      </c>
      <c r="E45" s="20">
        <v>3.1</v>
      </c>
    </row>
    <row r="46" spans="1:5" ht="16.5" customHeight="1" x14ac:dyDescent="0.3">
      <c r="A46" s="17">
        <v>2</v>
      </c>
      <c r="B46" s="18">
        <v>9806631</v>
      </c>
      <c r="C46" s="18">
        <v>5576.2</v>
      </c>
      <c r="D46" s="19">
        <v>1.1000000000000001</v>
      </c>
      <c r="E46" s="19">
        <v>3.1</v>
      </c>
    </row>
    <row r="47" spans="1:5" ht="16.5" customHeight="1" x14ac:dyDescent="0.3">
      <c r="A47" s="17">
        <v>3</v>
      </c>
      <c r="B47" s="18">
        <v>9804584</v>
      </c>
      <c r="C47" s="18">
        <v>5438.3</v>
      </c>
      <c r="D47" s="19">
        <v>1.1000000000000001</v>
      </c>
      <c r="E47" s="19">
        <v>3.1</v>
      </c>
    </row>
    <row r="48" spans="1:5" ht="16.5" customHeight="1" x14ac:dyDescent="0.3">
      <c r="A48" s="17">
        <v>4</v>
      </c>
      <c r="B48" s="18">
        <v>9804546</v>
      </c>
      <c r="C48" s="18">
        <v>5528.1</v>
      </c>
      <c r="D48" s="19">
        <v>1.2</v>
      </c>
      <c r="E48" s="19">
        <v>3.1</v>
      </c>
    </row>
    <row r="49" spans="1:7" ht="16.5" customHeight="1" x14ac:dyDescent="0.3">
      <c r="A49" s="17">
        <v>5</v>
      </c>
      <c r="B49" s="18">
        <v>9805854</v>
      </c>
      <c r="C49" s="18">
        <v>5555.8</v>
      </c>
      <c r="D49" s="19">
        <v>1.1000000000000001</v>
      </c>
      <c r="E49" s="19">
        <v>3.1</v>
      </c>
    </row>
    <row r="50" spans="1:7" ht="16.5" customHeight="1" x14ac:dyDescent="0.3">
      <c r="A50" s="17">
        <v>6</v>
      </c>
      <c r="B50" s="21">
        <v>9803327</v>
      </c>
      <c r="C50" s="21">
        <v>5658.6</v>
      </c>
      <c r="D50" s="22">
        <v>1.1000000000000001</v>
      </c>
      <c r="E50" s="22">
        <v>3.1</v>
      </c>
    </row>
    <row r="51" spans="1:7" ht="16.5" customHeight="1" x14ac:dyDescent="0.3">
      <c r="A51" s="23" t="s">
        <v>17</v>
      </c>
      <c r="B51" s="24">
        <f>AVERAGE(B45:B50)</f>
        <v>9806746.5</v>
      </c>
      <c r="C51" s="25">
        <f>AVERAGE(C45:C50)</f>
        <v>5596.8166666666666</v>
      </c>
      <c r="D51" s="26">
        <f>AVERAGE(D45:D50)</f>
        <v>1.1333333333333331</v>
      </c>
      <c r="E51" s="26">
        <f>AVERAGE(E45:E50)</f>
        <v>3.1</v>
      </c>
    </row>
    <row r="52" spans="1:7" ht="16.5" customHeight="1" x14ac:dyDescent="0.3">
      <c r="A52" s="27" t="s">
        <v>18</v>
      </c>
      <c r="B52" s="28">
        <f>(STDEV(B45:B50)/B51)</f>
        <v>4.5441469647548573E-4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08" t="s">
        <v>25</v>
      </c>
      <c r="C59" s="908"/>
      <c r="E59" s="605" t="s">
        <v>26</v>
      </c>
      <c r="F59" s="46"/>
      <c r="G59" s="605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7" zoomScale="50" zoomScaleNormal="40" zoomScalePageLayoutView="50" workbookViewId="0">
      <selection activeCell="G65" sqref="G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96" t="s">
        <v>44</v>
      </c>
      <c r="B1" s="896"/>
      <c r="C1" s="896"/>
      <c r="D1" s="896"/>
      <c r="E1" s="896"/>
      <c r="F1" s="896"/>
      <c r="G1" s="896"/>
      <c r="H1" s="896"/>
      <c r="I1" s="896"/>
    </row>
    <row r="2" spans="1:9" ht="18.75" customHeight="1" x14ac:dyDescent="0.25">
      <c r="A2" s="896"/>
      <c r="B2" s="896"/>
      <c r="C2" s="896"/>
      <c r="D2" s="896"/>
      <c r="E2" s="896"/>
      <c r="F2" s="896"/>
      <c r="G2" s="896"/>
      <c r="H2" s="896"/>
      <c r="I2" s="896"/>
    </row>
    <row r="3" spans="1:9" ht="18.75" customHeight="1" x14ac:dyDescent="0.25">
      <c r="A3" s="896"/>
      <c r="B3" s="896"/>
      <c r="C3" s="896"/>
      <c r="D3" s="896"/>
      <c r="E3" s="896"/>
      <c r="F3" s="896"/>
      <c r="G3" s="896"/>
      <c r="H3" s="896"/>
      <c r="I3" s="896"/>
    </row>
    <row r="4" spans="1:9" ht="18.75" customHeight="1" x14ac:dyDescent="0.25">
      <c r="A4" s="896"/>
      <c r="B4" s="896"/>
      <c r="C4" s="896"/>
      <c r="D4" s="896"/>
      <c r="E4" s="896"/>
      <c r="F4" s="896"/>
      <c r="G4" s="896"/>
      <c r="H4" s="896"/>
      <c r="I4" s="896"/>
    </row>
    <row r="5" spans="1:9" ht="18.75" customHeight="1" x14ac:dyDescent="0.25">
      <c r="A5" s="896"/>
      <c r="B5" s="896"/>
      <c r="C5" s="896"/>
      <c r="D5" s="896"/>
      <c r="E5" s="896"/>
      <c r="F5" s="896"/>
      <c r="G5" s="896"/>
      <c r="H5" s="896"/>
      <c r="I5" s="896"/>
    </row>
    <row r="6" spans="1:9" ht="18.75" customHeight="1" x14ac:dyDescent="0.25">
      <c r="A6" s="896"/>
      <c r="B6" s="896"/>
      <c r="C6" s="896"/>
      <c r="D6" s="896"/>
      <c r="E6" s="896"/>
      <c r="F6" s="896"/>
      <c r="G6" s="896"/>
      <c r="H6" s="896"/>
      <c r="I6" s="896"/>
    </row>
    <row r="7" spans="1:9" ht="18.75" customHeight="1" x14ac:dyDescent="0.25">
      <c r="A7" s="896"/>
      <c r="B7" s="896"/>
      <c r="C7" s="896"/>
      <c r="D7" s="896"/>
      <c r="E7" s="896"/>
      <c r="F7" s="896"/>
      <c r="G7" s="896"/>
      <c r="H7" s="896"/>
      <c r="I7" s="896"/>
    </row>
    <row r="8" spans="1:9" x14ac:dyDescent="0.25">
      <c r="A8" s="897" t="s">
        <v>45</v>
      </c>
      <c r="B8" s="897"/>
      <c r="C8" s="897"/>
      <c r="D8" s="897"/>
      <c r="E8" s="897"/>
      <c r="F8" s="897"/>
      <c r="G8" s="897"/>
      <c r="H8" s="897"/>
      <c r="I8" s="897"/>
    </row>
    <row r="9" spans="1:9" x14ac:dyDescent="0.25">
      <c r="A9" s="897"/>
      <c r="B9" s="897"/>
      <c r="C9" s="897"/>
      <c r="D9" s="897"/>
      <c r="E9" s="897"/>
      <c r="F9" s="897"/>
      <c r="G9" s="897"/>
      <c r="H9" s="897"/>
      <c r="I9" s="897"/>
    </row>
    <row r="10" spans="1:9" x14ac:dyDescent="0.25">
      <c r="A10" s="897"/>
      <c r="B10" s="897"/>
      <c r="C10" s="897"/>
      <c r="D10" s="897"/>
      <c r="E10" s="897"/>
      <c r="F10" s="897"/>
      <c r="G10" s="897"/>
      <c r="H10" s="897"/>
      <c r="I10" s="897"/>
    </row>
    <row r="11" spans="1:9" x14ac:dyDescent="0.25">
      <c r="A11" s="897"/>
      <c r="B11" s="897"/>
      <c r="C11" s="897"/>
      <c r="D11" s="897"/>
      <c r="E11" s="897"/>
      <c r="F11" s="897"/>
      <c r="G11" s="897"/>
      <c r="H11" s="897"/>
      <c r="I11" s="897"/>
    </row>
    <row r="12" spans="1:9" x14ac:dyDescent="0.25">
      <c r="A12" s="897"/>
      <c r="B12" s="897"/>
      <c r="C12" s="897"/>
      <c r="D12" s="897"/>
      <c r="E12" s="897"/>
      <c r="F12" s="897"/>
      <c r="G12" s="897"/>
      <c r="H12" s="897"/>
      <c r="I12" s="897"/>
    </row>
    <row r="13" spans="1:9" x14ac:dyDescent="0.25">
      <c r="A13" s="897"/>
      <c r="B13" s="897"/>
      <c r="C13" s="897"/>
      <c r="D13" s="897"/>
      <c r="E13" s="897"/>
      <c r="F13" s="897"/>
      <c r="G13" s="897"/>
      <c r="H13" s="897"/>
      <c r="I13" s="897"/>
    </row>
    <row r="14" spans="1:9" x14ac:dyDescent="0.25">
      <c r="A14" s="897"/>
      <c r="B14" s="897"/>
      <c r="C14" s="897"/>
      <c r="D14" s="897"/>
      <c r="E14" s="897"/>
      <c r="F14" s="897"/>
      <c r="G14" s="897"/>
      <c r="H14" s="897"/>
      <c r="I14" s="897"/>
    </row>
    <row r="15" spans="1:9" ht="19.5" customHeight="1" x14ac:dyDescent="0.3">
      <c r="A15" s="419"/>
    </row>
    <row r="16" spans="1:9" ht="19.5" customHeight="1" x14ac:dyDescent="0.3">
      <c r="A16" s="869" t="s">
        <v>30</v>
      </c>
      <c r="B16" s="870"/>
      <c r="C16" s="870"/>
      <c r="D16" s="870"/>
      <c r="E16" s="870"/>
      <c r="F16" s="870"/>
      <c r="G16" s="870"/>
      <c r="H16" s="871"/>
    </row>
    <row r="17" spans="1:14" ht="20.25" customHeight="1" x14ac:dyDescent="0.25">
      <c r="A17" s="872" t="s">
        <v>46</v>
      </c>
      <c r="B17" s="872"/>
      <c r="C17" s="872"/>
      <c r="D17" s="872"/>
      <c r="E17" s="872"/>
      <c r="F17" s="872"/>
      <c r="G17" s="872"/>
      <c r="H17" s="872"/>
    </row>
    <row r="18" spans="1:14" ht="26.25" customHeight="1" x14ac:dyDescent="0.4">
      <c r="A18" s="421" t="s">
        <v>32</v>
      </c>
      <c r="B18" s="868" t="s">
        <v>5</v>
      </c>
      <c r="C18" s="868"/>
      <c r="D18" s="586"/>
      <c r="E18" s="422"/>
      <c r="F18" s="423"/>
      <c r="G18" s="423"/>
      <c r="H18" s="423"/>
    </row>
    <row r="19" spans="1:14" ht="26.25" customHeight="1" x14ac:dyDescent="0.4">
      <c r="A19" s="421" t="s">
        <v>33</v>
      </c>
      <c r="B19" s="652" t="str">
        <f>Rifampicin!B19</f>
        <v>NDQD201511523</v>
      </c>
      <c r="C19" s="599">
        <v>29</v>
      </c>
      <c r="D19" s="423"/>
      <c r="E19" s="423"/>
      <c r="F19" s="423"/>
      <c r="G19" s="423"/>
      <c r="H19" s="423"/>
    </row>
    <row r="20" spans="1:14" ht="26.25" customHeight="1" x14ac:dyDescent="0.4">
      <c r="A20" s="421" t="s">
        <v>34</v>
      </c>
      <c r="B20" s="909" t="s">
        <v>126</v>
      </c>
      <c r="C20" s="873"/>
      <c r="D20" s="423"/>
      <c r="E20" s="423"/>
      <c r="F20" s="423"/>
      <c r="G20" s="423"/>
      <c r="H20" s="423"/>
    </row>
    <row r="21" spans="1:14" ht="26.25" customHeight="1" x14ac:dyDescent="0.4">
      <c r="A21" s="421" t="s">
        <v>35</v>
      </c>
      <c r="B21" s="873" t="s">
        <v>10</v>
      </c>
      <c r="C21" s="873"/>
      <c r="D21" s="873"/>
      <c r="E21" s="873"/>
      <c r="F21" s="873"/>
      <c r="G21" s="873"/>
      <c r="H21" s="873"/>
      <c r="I21" s="424"/>
    </row>
    <row r="22" spans="1:14" ht="26.25" customHeight="1" x14ac:dyDescent="0.4">
      <c r="A22" s="421" t="s">
        <v>36</v>
      </c>
      <c r="B22" s="425" t="s">
        <v>11</v>
      </c>
      <c r="C22" s="423"/>
      <c r="D22" s="423"/>
      <c r="E22" s="423"/>
      <c r="F22" s="423"/>
      <c r="G22" s="423"/>
      <c r="H22" s="423"/>
    </row>
    <row r="23" spans="1:14" ht="26.25" customHeight="1" x14ac:dyDescent="0.4">
      <c r="A23" s="421" t="s">
        <v>37</v>
      </c>
      <c r="B23" s="425"/>
      <c r="C23" s="423"/>
      <c r="D23" s="423"/>
      <c r="E23" s="423"/>
      <c r="F23" s="423"/>
      <c r="G23" s="423"/>
      <c r="H23" s="423"/>
    </row>
    <row r="24" spans="1:14" ht="18.75" x14ac:dyDescent="0.3">
      <c r="A24" s="421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868" t="s">
        <v>126</v>
      </c>
      <c r="C26" s="868"/>
    </row>
    <row r="27" spans="1:14" ht="26.25" customHeight="1" x14ac:dyDescent="0.4">
      <c r="A27" s="429" t="s">
        <v>47</v>
      </c>
      <c r="B27" s="874" t="s">
        <v>131</v>
      </c>
      <c r="C27" s="874"/>
    </row>
    <row r="28" spans="1:14" ht="27" customHeight="1" x14ac:dyDescent="0.4">
      <c r="A28" s="429" t="s">
        <v>6</v>
      </c>
      <c r="B28" s="430">
        <v>99.5</v>
      </c>
    </row>
    <row r="29" spans="1:14" s="14" customFormat="1" ht="27" customHeight="1" x14ac:dyDescent="0.4">
      <c r="A29" s="429" t="s">
        <v>48</v>
      </c>
      <c r="B29" s="431">
        <v>0</v>
      </c>
      <c r="C29" s="875" t="s">
        <v>49</v>
      </c>
      <c r="D29" s="876"/>
      <c r="E29" s="876"/>
      <c r="F29" s="876"/>
      <c r="G29" s="877"/>
      <c r="I29" s="432"/>
      <c r="J29" s="432"/>
      <c r="K29" s="432"/>
      <c r="L29" s="432"/>
    </row>
    <row r="30" spans="1:14" s="14" customFormat="1" ht="19.5" customHeight="1" x14ac:dyDescent="0.3">
      <c r="A30" s="429" t="s">
        <v>50</v>
      </c>
      <c r="B30" s="433">
        <f>B28-B29</f>
        <v>99.5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14" customFormat="1" ht="27" customHeight="1" x14ac:dyDescent="0.4">
      <c r="A31" s="429" t="s">
        <v>51</v>
      </c>
      <c r="B31" s="436">
        <v>1</v>
      </c>
      <c r="C31" s="878" t="s">
        <v>52</v>
      </c>
      <c r="D31" s="879"/>
      <c r="E31" s="879"/>
      <c r="F31" s="879"/>
      <c r="G31" s="879"/>
      <c r="H31" s="880"/>
      <c r="I31" s="432"/>
      <c r="J31" s="432"/>
      <c r="K31" s="432"/>
      <c r="L31" s="432"/>
    </row>
    <row r="32" spans="1:14" s="14" customFormat="1" ht="27" customHeight="1" x14ac:dyDescent="0.4">
      <c r="A32" s="429" t="s">
        <v>53</v>
      </c>
      <c r="B32" s="436">
        <v>1</v>
      </c>
      <c r="C32" s="878" t="s">
        <v>54</v>
      </c>
      <c r="D32" s="879"/>
      <c r="E32" s="879"/>
      <c r="F32" s="879"/>
      <c r="G32" s="879"/>
      <c r="H32" s="880"/>
      <c r="I32" s="432"/>
      <c r="J32" s="432"/>
      <c r="K32" s="432"/>
      <c r="L32" s="437"/>
      <c r="M32" s="437"/>
      <c r="N32" s="438"/>
    </row>
    <row r="33" spans="1:14" s="14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14" customFormat="1" ht="18.75" x14ac:dyDescent="0.3">
      <c r="A34" s="429" t="s">
        <v>55</v>
      </c>
      <c r="B34" s="441">
        <f>B31/B32</f>
        <v>1</v>
      </c>
      <c r="C34" s="420" t="s">
        <v>56</v>
      </c>
      <c r="D34" s="420"/>
      <c r="E34" s="420"/>
      <c r="F34" s="420"/>
      <c r="G34" s="420"/>
      <c r="I34" s="432"/>
      <c r="J34" s="432"/>
      <c r="K34" s="432"/>
      <c r="L34" s="437"/>
      <c r="M34" s="437"/>
      <c r="N34" s="438"/>
    </row>
    <row r="35" spans="1:14" s="14" customFormat="1" ht="19.5" customHeight="1" x14ac:dyDescent="0.3">
      <c r="A35" s="429"/>
      <c r="B35" s="433"/>
      <c r="G35" s="420"/>
      <c r="I35" s="432"/>
      <c r="J35" s="432"/>
      <c r="K35" s="432"/>
      <c r="L35" s="437"/>
      <c r="M35" s="437"/>
      <c r="N35" s="438"/>
    </row>
    <row r="36" spans="1:14" s="14" customFormat="1" ht="27" customHeight="1" x14ac:dyDescent="0.4">
      <c r="A36" s="442" t="s">
        <v>57</v>
      </c>
      <c r="B36" s="443">
        <v>100</v>
      </c>
      <c r="C36" s="420"/>
      <c r="D36" s="881" t="s">
        <v>58</v>
      </c>
      <c r="E36" s="882"/>
      <c r="F36" s="881" t="s">
        <v>59</v>
      </c>
      <c r="G36" s="883"/>
      <c r="J36" s="432"/>
      <c r="K36" s="432"/>
      <c r="L36" s="437"/>
      <c r="M36" s="437"/>
      <c r="N36" s="438"/>
    </row>
    <row r="37" spans="1:14" s="14" customFormat="1" ht="27" customHeight="1" x14ac:dyDescent="0.4">
      <c r="A37" s="444" t="s">
        <v>60</v>
      </c>
      <c r="B37" s="445">
        <v>1</v>
      </c>
      <c r="C37" s="446" t="s">
        <v>61</v>
      </c>
      <c r="D37" s="447" t="s">
        <v>62</v>
      </c>
      <c r="E37" s="448" t="s">
        <v>63</v>
      </c>
      <c r="F37" s="447" t="s">
        <v>62</v>
      </c>
      <c r="G37" s="449" t="s">
        <v>63</v>
      </c>
      <c r="I37" s="450" t="s">
        <v>64</v>
      </c>
      <c r="J37" s="432"/>
      <c r="K37" s="432"/>
      <c r="L37" s="437"/>
      <c r="M37" s="437"/>
      <c r="N37" s="438"/>
    </row>
    <row r="38" spans="1:14" s="14" customFormat="1" ht="26.25" customHeight="1" x14ac:dyDescent="0.4">
      <c r="A38" s="444" t="s">
        <v>65</v>
      </c>
      <c r="B38" s="445">
        <v>1</v>
      </c>
      <c r="C38" s="451">
        <v>1</v>
      </c>
      <c r="D38" s="452">
        <v>9804546</v>
      </c>
      <c r="E38" s="453">
        <f>IF(ISBLANK(D38),"-",$D$48/$D$45*D38)</f>
        <v>10648757.181231616</v>
      </c>
      <c r="F38" s="452">
        <v>10200548</v>
      </c>
      <c r="G38" s="454">
        <f>IF(ISBLANK(F38),"-",$D$48/$F$45*F38)</f>
        <v>10686732.182122735</v>
      </c>
      <c r="I38" s="455"/>
      <c r="J38" s="432"/>
      <c r="K38" s="432"/>
      <c r="L38" s="437"/>
      <c r="M38" s="437"/>
      <c r="N38" s="438"/>
    </row>
    <row r="39" spans="1:14" s="14" customFormat="1" ht="26.25" customHeight="1" x14ac:dyDescent="0.4">
      <c r="A39" s="444" t="s">
        <v>66</v>
      </c>
      <c r="B39" s="445">
        <v>1</v>
      </c>
      <c r="C39" s="456">
        <v>2</v>
      </c>
      <c r="D39" s="457">
        <v>9805854</v>
      </c>
      <c r="E39" s="458">
        <f>IF(ISBLANK(D39),"-",$D$48/$D$45*D39)</f>
        <v>10650177.805337315</v>
      </c>
      <c r="F39" s="457">
        <v>10212138</v>
      </c>
      <c r="G39" s="459">
        <f>IF(ISBLANK(F39),"-",$D$48/$F$45*F39)</f>
        <v>10698874.591137506</v>
      </c>
      <c r="I39" s="885">
        <f>ABS((F43/D43*D42)-F42)/D42</f>
        <v>4.1459829882066167E-3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67</v>
      </c>
      <c r="B40" s="445">
        <v>1</v>
      </c>
      <c r="C40" s="456">
        <v>3</v>
      </c>
      <c r="D40" s="457">
        <v>9803327</v>
      </c>
      <c r="E40" s="458">
        <f>IF(ISBLANK(D40),"-",$D$48/$D$45*D40)</f>
        <v>10647433.22038693</v>
      </c>
      <c r="F40" s="457">
        <v>10202257</v>
      </c>
      <c r="G40" s="459">
        <f>IF(ISBLANK(F40),"-",$D$48/$F$45*F40)</f>
        <v>10688522.637429573</v>
      </c>
      <c r="I40" s="885"/>
      <c r="L40" s="437"/>
      <c r="M40" s="437"/>
      <c r="N40" s="460"/>
    </row>
    <row r="41" spans="1:14" ht="27" customHeight="1" x14ac:dyDescent="0.4">
      <c r="A41" s="444" t="s">
        <v>68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69</v>
      </c>
      <c r="B42" s="445">
        <v>1</v>
      </c>
      <c r="C42" s="466" t="s">
        <v>70</v>
      </c>
      <c r="D42" s="467">
        <f>AVERAGE(D38:D41)</f>
        <v>9804575.666666666</v>
      </c>
      <c r="E42" s="468">
        <f>AVERAGE(E38:E41)</f>
        <v>10648789.402318621</v>
      </c>
      <c r="F42" s="467">
        <f>AVERAGE(F38:F41)</f>
        <v>10204981</v>
      </c>
      <c r="G42" s="469">
        <f>AVERAGE(G38:G41)</f>
        <v>10691376.470229939</v>
      </c>
      <c r="H42" s="470"/>
    </row>
    <row r="43" spans="1:14" ht="26.25" customHeight="1" x14ac:dyDescent="0.4">
      <c r="A43" s="444" t="s">
        <v>71</v>
      </c>
      <c r="B43" s="445">
        <v>1</v>
      </c>
      <c r="C43" s="471" t="s">
        <v>72</v>
      </c>
      <c r="D43" s="472">
        <v>39.79</v>
      </c>
      <c r="E43" s="460"/>
      <c r="F43" s="472">
        <v>41.25</v>
      </c>
      <c r="H43" s="470"/>
    </row>
    <row r="44" spans="1:14" ht="26.25" customHeight="1" x14ac:dyDescent="0.4">
      <c r="A44" s="444" t="s">
        <v>73</v>
      </c>
      <c r="B44" s="445">
        <v>1</v>
      </c>
      <c r="C44" s="473" t="s">
        <v>74</v>
      </c>
      <c r="D44" s="474">
        <f>D43*$B$34</f>
        <v>39.79</v>
      </c>
      <c r="E44" s="475"/>
      <c r="F44" s="474">
        <f>F43*$B$34</f>
        <v>41.25</v>
      </c>
      <c r="H44" s="470"/>
    </row>
    <row r="45" spans="1:14" ht="19.5" customHeight="1" x14ac:dyDescent="0.3">
      <c r="A45" s="444" t="s">
        <v>75</v>
      </c>
      <c r="B45" s="476">
        <f>(B44/B43)*(B42/B41)*(B40/B39)*(B38/B37)*B36</f>
        <v>100</v>
      </c>
      <c r="C45" s="473" t="s">
        <v>76</v>
      </c>
      <c r="D45" s="477">
        <f>D44*$B$30/100</f>
        <v>39.591050000000003</v>
      </c>
      <c r="E45" s="478"/>
      <c r="F45" s="477">
        <f>F44*$B$30/100</f>
        <v>41.043750000000003</v>
      </c>
      <c r="H45" s="470"/>
    </row>
    <row r="46" spans="1:14" ht="19.5" customHeight="1" x14ac:dyDescent="0.3">
      <c r="A46" s="886" t="s">
        <v>77</v>
      </c>
      <c r="B46" s="887"/>
      <c r="C46" s="473" t="s">
        <v>78</v>
      </c>
      <c r="D46" s="479">
        <f>D45/$B$45</f>
        <v>0.39591050000000005</v>
      </c>
      <c r="E46" s="480"/>
      <c r="F46" s="481">
        <f>F45/$B$45</f>
        <v>0.41043750000000001</v>
      </c>
      <c r="H46" s="470"/>
    </row>
    <row r="47" spans="1:14" ht="27" customHeight="1" x14ac:dyDescent="0.4">
      <c r="A47" s="888"/>
      <c r="B47" s="889"/>
      <c r="C47" s="482" t="s">
        <v>79</v>
      </c>
      <c r="D47" s="483">
        <v>0.43</v>
      </c>
      <c r="E47" s="484"/>
      <c r="F47" s="480"/>
      <c r="H47" s="470"/>
    </row>
    <row r="48" spans="1:14" ht="18.75" x14ac:dyDescent="0.3">
      <c r="C48" s="485" t="s">
        <v>80</v>
      </c>
      <c r="D48" s="477">
        <f>D47*$B$45</f>
        <v>43</v>
      </c>
      <c r="F48" s="486"/>
      <c r="H48" s="470"/>
    </row>
    <row r="49" spans="1:12" ht="19.5" customHeight="1" x14ac:dyDescent="0.3">
      <c r="C49" s="487" t="s">
        <v>81</v>
      </c>
      <c r="D49" s="488">
        <f>D48/B34</f>
        <v>43</v>
      </c>
      <c r="F49" s="486"/>
      <c r="H49" s="470"/>
    </row>
    <row r="50" spans="1:12" ht="18.75" x14ac:dyDescent="0.3">
      <c r="C50" s="442" t="s">
        <v>82</v>
      </c>
      <c r="D50" s="489">
        <f>AVERAGE(E38:E41,G38:G41)</f>
        <v>10670082.936274279</v>
      </c>
      <c r="F50" s="490"/>
      <c r="H50" s="470"/>
    </row>
    <row r="51" spans="1:12" ht="18.75" x14ac:dyDescent="0.3">
      <c r="C51" s="444" t="s">
        <v>83</v>
      </c>
      <c r="D51" s="491">
        <f>STDEV(E38:E41,G38:G41)/D50</f>
        <v>2.2218519960426836E-3</v>
      </c>
      <c r="F51" s="490"/>
      <c r="H51" s="470"/>
    </row>
    <row r="52" spans="1:12" ht="19.5" customHeight="1" x14ac:dyDescent="0.3">
      <c r="C52" s="492" t="s">
        <v>19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84</v>
      </c>
    </row>
    <row r="55" spans="1:12" ht="18.75" x14ac:dyDescent="0.3">
      <c r="A55" s="420" t="s">
        <v>85</v>
      </c>
      <c r="B55" s="496" t="str">
        <f>B21</f>
        <v>RIFAMPICIN 150mg, ISONIAZID 75mg, PYRAZINAMIDE 400mg &amp; ETHAMBUTOL HCl 275mg</v>
      </c>
    </row>
    <row r="56" spans="1:12" ht="26.25" customHeight="1" x14ac:dyDescent="0.4">
      <c r="A56" s="497" t="s">
        <v>86</v>
      </c>
      <c r="B56" s="498">
        <v>400</v>
      </c>
      <c r="C56" s="420" t="str">
        <f>B20</f>
        <v>PYRAZINAMIDE</v>
      </c>
      <c r="H56" s="499"/>
    </row>
    <row r="57" spans="1:12" ht="18.75" x14ac:dyDescent="0.3">
      <c r="A57" s="496" t="s">
        <v>87</v>
      </c>
      <c r="B57" s="587">
        <f>Isoniazid!B57</f>
        <v>1261.9720000000002</v>
      </c>
      <c r="H57" s="499"/>
    </row>
    <row r="58" spans="1:12" ht="19.5" customHeight="1" x14ac:dyDescent="0.3">
      <c r="H58" s="499"/>
    </row>
    <row r="59" spans="1:12" s="14" customFormat="1" ht="27" customHeight="1" x14ac:dyDescent="0.4">
      <c r="A59" s="442" t="s">
        <v>88</v>
      </c>
      <c r="B59" s="443">
        <v>200</v>
      </c>
      <c r="C59" s="420"/>
      <c r="D59" s="500" t="s">
        <v>89</v>
      </c>
      <c r="E59" s="501" t="s">
        <v>61</v>
      </c>
      <c r="F59" s="501" t="s">
        <v>62</v>
      </c>
      <c r="G59" s="501" t="s">
        <v>90</v>
      </c>
      <c r="H59" s="446" t="s">
        <v>91</v>
      </c>
      <c r="L59" s="432"/>
    </row>
    <row r="60" spans="1:12" s="14" customFormat="1" ht="26.25" customHeight="1" x14ac:dyDescent="0.4">
      <c r="A60" s="444" t="s">
        <v>92</v>
      </c>
      <c r="B60" s="445">
        <v>4</v>
      </c>
      <c r="C60" s="890" t="s">
        <v>93</v>
      </c>
      <c r="D60" s="893">
        <f>Isoniazid!D60</f>
        <v>1275.26</v>
      </c>
      <c r="E60" s="502">
        <v>1</v>
      </c>
      <c r="F60" s="503"/>
      <c r="G60" s="588" t="str">
        <f>IF(ISBLANK(F60),"-",(F60/$D$50*$D$47*$B$68)*($B$57/$D$60))</f>
        <v>-</v>
      </c>
      <c r="H60" s="504" t="str">
        <f t="shared" ref="H60:H71" si="0">IF(ISBLANK(F60),"-",G60/$B$56)</f>
        <v>-</v>
      </c>
      <c r="L60" s="432"/>
    </row>
    <row r="61" spans="1:12" s="14" customFormat="1" ht="26.25" customHeight="1" x14ac:dyDescent="0.4">
      <c r="A61" s="444" t="s">
        <v>94</v>
      </c>
      <c r="B61" s="445">
        <v>20</v>
      </c>
      <c r="C61" s="891"/>
      <c r="D61" s="894"/>
      <c r="E61" s="505">
        <v>2</v>
      </c>
      <c r="F61" s="457"/>
      <c r="G61" s="589" t="str">
        <f>IF(ISBLANK(F61),"-",(F61/$D$50*$D$47*$B$68)*($B$57/$D$60))</f>
        <v>-</v>
      </c>
      <c r="H61" s="506" t="str">
        <f t="shared" si="0"/>
        <v>-</v>
      </c>
      <c r="L61" s="432"/>
    </row>
    <row r="62" spans="1:12" s="14" customFormat="1" ht="26.25" customHeight="1" x14ac:dyDescent="0.4">
      <c r="A62" s="444" t="s">
        <v>95</v>
      </c>
      <c r="B62" s="445">
        <v>1</v>
      </c>
      <c r="C62" s="891"/>
      <c r="D62" s="894"/>
      <c r="E62" s="505">
        <v>3</v>
      </c>
      <c r="F62" s="507"/>
      <c r="G62" s="589" t="str">
        <f>IF(ISBLANK(F62),"-",(F62/$D$50*$D$47*$B$68)*($B$57/$D$60))</f>
        <v>-</v>
      </c>
      <c r="H62" s="506" t="str">
        <f t="shared" si="0"/>
        <v>-</v>
      </c>
      <c r="L62" s="432"/>
    </row>
    <row r="63" spans="1:12" ht="27" customHeight="1" x14ac:dyDescent="0.4">
      <c r="A63" s="444" t="s">
        <v>96</v>
      </c>
      <c r="B63" s="445">
        <v>1</v>
      </c>
      <c r="C63" s="892"/>
      <c r="D63" s="895"/>
      <c r="E63" s="508">
        <v>4</v>
      </c>
      <c r="F63" s="509"/>
      <c r="G63" s="589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97</v>
      </c>
      <c r="B64" s="445">
        <v>1</v>
      </c>
      <c r="C64" s="890" t="s">
        <v>98</v>
      </c>
      <c r="D64" s="893">
        <f>Isoniazid!D64</f>
        <v>1262.27</v>
      </c>
      <c r="E64" s="502">
        <v>1</v>
      </c>
      <c r="F64" s="503">
        <v>10324412</v>
      </c>
      <c r="G64" s="590">
        <f>IF(ISBLANK(F64),"-",(F64/$D$50*$D$47*$B$68)*($B$57/$D$64))</f>
        <v>415.97137514467562</v>
      </c>
      <c r="H64" s="510">
        <f t="shared" si="0"/>
        <v>1.0399284378616891</v>
      </c>
    </row>
    <row r="65" spans="1:8" ht="26.25" customHeight="1" x14ac:dyDescent="0.4">
      <c r="A65" s="444" t="s">
        <v>99</v>
      </c>
      <c r="B65" s="445">
        <v>1</v>
      </c>
      <c r="C65" s="891"/>
      <c r="D65" s="894"/>
      <c r="E65" s="505">
        <v>2</v>
      </c>
      <c r="F65" s="457">
        <v>10313312</v>
      </c>
      <c r="G65" s="591">
        <f>IF(ISBLANK(F65),"-",(F65/$D$50*$D$47*$B$68)*($B$57/$D$64))</f>
        <v>415.52415526773683</v>
      </c>
      <c r="H65" s="511">
        <f t="shared" si="0"/>
        <v>1.038810388169342</v>
      </c>
    </row>
    <row r="66" spans="1:8" ht="26.25" customHeight="1" x14ac:dyDescent="0.4">
      <c r="A66" s="444" t="s">
        <v>100</v>
      </c>
      <c r="B66" s="445">
        <v>1</v>
      </c>
      <c r="C66" s="891"/>
      <c r="D66" s="894"/>
      <c r="E66" s="505">
        <v>3</v>
      </c>
      <c r="F66" s="457">
        <v>10357771</v>
      </c>
      <c r="G66" s="591">
        <f>IF(ISBLANK(F66),"-",(F66/$D$50*$D$47*$B$68)*($B$57/$D$64))</f>
        <v>417.31541189015337</v>
      </c>
      <c r="H66" s="511">
        <f t="shared" si="0"/>
        <v>1.0432885297253833</v>
      </c>
    </row>
    <row r="67" spans="1:8" ht="27" customHeight="1" x14ac:dyDescent="0.4">
      <c r="A67" s="444" t="s">
        <v>101</v>
      </c>
      <c r="B67" s="445">
        <v>1</v>
      </c>
      <c r="C67" s="892"/>
      <c r="D67" s="895"/>
      <c r="E67" s="508">
        <v>4</v>
      </c>
      <c r="F67" s="509"/>
      <c r="G67" s="592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102</v>
      </c>
      <c r="B68" s="513">
        <f>(B67/B66)*(B65/B64)*(B63/B62)*(B61/B60)*B59</f>
        <v>1000</v>
      </c>
      <c r="C68" s="890" t="s">
        <v>103</v>
      </c>
      <c r="D68" s="893">
        <f>Isoniazid!D68</f>
        <v>1247.8900000000001</v>
      </c>
      <c r="E68" s="502">
        <v>1</v>
      </c>
      <c r="F68" s="503">
        <v>10296862</v>
      </c>
      <c r="G68" s="590">
        <f>IF(ISBLANK(F68),"-",(F68/$D$50*$D$47*$B$68)*($B$57/$D$68))</f>
        <v>419.64201853554044</v>
      </c>
      <c r="H68" s="506">
        <f t="shared" si="0"/>
        <v>1.0491050463388512</v>
      </c>
    </row>
    <row r="69" spans="1:8" ht="27" customHeight="1" x14ac:dyDescent="0.4">
      <c r="A69" s="492" t="s">
        <v>104</v>
      </c>
      <c r="B69" s="514">
        <f>(D47*B68)/B56*B57</f>
        <v>1356.6199000000001</v>
      </c>
      <c r="C69" s="891"/>
      <c r="D69" s="894"/>
      <c r="E69" s="505">
        <v>2</v>
      </c>
      <c r="F69" s="457">
        <v>10321469</v>
      </c>
      <c r="G69" s="591">
        <f>IF(ISBLANK(F69),"-",(F69/$D$50*$D$47*$B$68)*($B$57/$D$68))</f>
        <v>420.64486106660507</v>
      </c>
      <c r="H69" s="506">
        <f t="shared" si="0"/>
        <v>1.0516121526665128</v>
      </c>
    </row>
    <row r="70" spans="1:8" ht="26.25" customHeight="1" x14ac:dyDescent="0.4">
      <c r="A70" s="903" t="s">
        <v>77</v>
      </c>
      <c r="B70" s="904"/>
      <c r="C70" s="891"/>
      <c r="D70" s="894"/>
      <c r="E70" s="505">
        <v>3</v>
      </c>
      <c r="F70" s="457">
        <v>10304858</v>
      </c>
      <c r="G70" s="591">
        <f>IF(ISBLANK(F70),"-",(F70/$D$50*$D$47*$B$68)*($B$57/$D$68))</f>
        <v>419.96789039632768</v>
      </c>
      <c r="H70" s="506">
        <f t="shared" si="0"/>
        <v>1.0499197259908193</v>
      </c>
    </row>
    <row r="71" spans="1:8" ht="27" customHeight="1" x14ac:dyDescent="0.4">
      <c r="A71" s="905"/>
      <c r="B71" s="906"/>
      <c r="C71" s="902"/>
      <c r="D71" s="895"/>
      <c r="E71" s="508">
        <v>4</v>
      </c>
      <c r="F71" s="509"/>
      <c r="G71" s="592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70</v>
      </c>
      <c r="G72" s="597">
        <f>AVERAGE(G60:G71)</f>
        <v>418.17761871683985</v>
      </c>
      <c r="H72" s="519">
        <f>AVERAGE(H60:H71)</f>
        <v>1.0454440467920996</v>
      </c>
    </row>
    <row r="73" spans="1:8" ht="26.25" customHeight="1" x14ac:dyDescent="0.4">
      <c r="C73" s="516"/>
      <c r="D73" s="516"/>
      <c r="E73" s="516"/>
      <c r="F73" s="520" t="s">
        <v>83</v>
      </c>
      <c r="G73" s="593">
        <f>STDEV(G60:G71)/G72</f>
        <v>5.2488000384433567E-3</v>
      </c>
      <c r="H73" s="593">
        <f>STDEV(H60:H71)/H72</f>
        <v>5.2488000384434052E-3</v>
      </c>
    </row>
    <row r="74" spans="1:8" ht="27" customHeight="1" x14ac:dyDescent="0.4">
      <c r="A74" s="516"/>
      <c r="B74" s="516"/>
      <c r="C74" s="517"/>
      <c r="D74" s="517"/>
      <c r="E74" s="521"/>
      <c r="F74" s="522" t="s">
        <v>19</v>
      </c>
      <c r="G74" s="523">
        <f>COUNT(G60:G71)</f>
        <v>6</v>
      </c>
      <c r="H74" s="523">
        <f>COUNT(H60:H71)</f>
        <v>6</v>
      </c>
    </row>
    <row r="76" spans="1:8" ht="26.25" customHeight="1" x14ac:dyDescent="0.4">
      <c r="A76" s="428" t="s">
        <v>105</v>
      </c>
      <c r="B76" s="524" t="s">
        <v>106</v>
      </c>
      <c r="C76" s="898" t="str">
        <f>B20</f>
        <v>PYRAZINAMIDE</v>
      </c>
      <c r="D76" s="898"/>
      <c r="E76" s="525" t="s">
        <v>107</v>
      </c>
      <c r="F76" s="525"/>
      <c r="G76" s="526">
        <f>H72</f>
        <v>1.0454440467920996</v>
      </c>
      <c r="H76" s="527"/>
    </row>
    <row r="77" spans="1:8" ht="18.75" x14ac:dyDescent="0.3">
      <c r="A77" s="427" t="s">
        <v>108</v>
      </c>
      <c r="B77" s="427" t="s">
        <v>109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884" t="str">
        <f>B26</f>
        <v>PYRAZINAMIDE</v>
      </c>
      <c r="C79" s="884"/>
    </row>
    <row r="80" spans="1:8" ht="26.25" customHeight="1" x14ac:dyDescent="0.4">
      <c r="A80" s="429" t="s">
        <v>47</v>
      </c>
      <c r="B80" s="884" t="str">
        <f>B27</f>
        <v>P19 1</v>
      </c>
      <c r="C80" s="884"/>
    </row>
    <row r="81" spans="1:12" ht="27" customHeight="1" x14ac:dyDescent="0.4">
      <c r="A81" s="429" t="s">
        <v>6</v>
      </c>
      <c r="B81" s="528">
        <f>B28</f>
        <v>99.5</v>
      </c>
    </row>
    <row r="82" spans="1:12" s="14" customFormat="1" ht="27" customHeight="1" x14ac:dyDescent="0.4">
      <c r="A82" s="429" t="s">
        <v>48</v>
      </c>
      <c r="B82" s="431">
        <v>0</v>
      </c>
      <c r="C82" s="875" t="s">
        <v>49</v>
      </c>
      <c r="D82" s="876"/>
      <c r="E82" s="876"/>
      <c r="F82" s="876"/>
      <c r="G82" s="877"/>
      <c r="I82" s="432"/>
      <c r="J82" s="432"/>
      <c r="K82" s="432"/>
      <c r="L82" s="432"/>
    </row>
    <row r="83" spans="1:12" s="14" customFormat="1" ht="19.5" customHeight="1" x14ac:dyDescent="0.3">
      <c r="A83" s="429" t="s">
        <v>50</v>
      </c>
      <c r="B83" s="433">
        <f>B81-B82</f>
        <v>99.5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14" customFormat="1" ht="27" customHeight="1" x14ac:dyDescent="0.4">
      <c r="A84" s="429" t="s">
        <v>51</v>
      </c>
      <c r="B84" s="436">
        <v>1</v>
      </c>
      <c r="C84" s="878" t="s">
        <v>110</v>
      </c>
      <c r="D84" s="879"/>
      <c r="E84" s="879"/>
      <c r="F84" s="879"/>
      <c r="G84" s="879"/>
      <c r="H84" s="880"/>
      <c r="I84" s="432"/>
      <c r="J84" s="432"/>
      <c r="K84" s="432"/>
      <c r="L84" s="432"/>
    </row>
    <row r="85" spans="1:12" s="14" customFormat="1" ht="27" customHeight="1" x14ac:dyDescent="0.4">
      <c r="A85" s="429" t="s">
        <v>53</v>
      </c>
      <c r="B85" s="436">
        <v>1</v>
      </c>
      <c r="C85" s="878" t="s">
        <v>111</v>
      </c>
      <c r="D85" s="879"/>
      <c r="E85" s="879"/>
      <c r="F85" s="879"/>
      <c r="G85" s="879"/>
      <c r="H85" s="880"/>
      <c r="I85" s="432"/>
      <c r="J85" s="432"/>
      <c r="K85" s="432"/>
      <c r="L85" s="432"/>
    </row>
    <row r="86" spans="1:12" s="14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14" customFormat="1" ht="18.75" x14ac:dyDescent="0.3">
      <c r="A87" s="429" t="s">
        <v>55</v>
      </c>
      <c r="B87" s="441">
        <f>B84/B85</f>
        <v>1</v>
      </c>
      <c r="C87" s="420" t="s">
        <v>56</v>
      </c>
      <c r="D87" s="420"/>
      <c r="E87" s="420"/>
      <c r="F87" s="420"/>
      <c r="G87" s="420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57</v>
      </c>
      <c r="B89" s="443">
        <v>100</v>
      </c>
      <c r="D89" s="529" t="s">
        <v>58</v>
      </c>
      <c r="E89" s="530"/>
      <c r="F89" s="881" t="s">
        <v>59</v>
      </c>
      <c r="G89" s="883"/>
    </row>
    <row r="90" spans="1:12" ht="27" customHeight="1" x14ac:dyDescent="0.4">
      <c r="A90" s="444" t="s">
        <v>60</v>
      </c>
      <c r="B90" s="445">
        <v>1</v>
      </c>
      <c r="C90" s="531" t="s">
        <v>61</v>
      </c>
      <c r="D90" s="447" t="s">
        <v>62</v>
      </c>
      <c r="E90" s="448" t="s">
        <v>63</v>
      </c>
      <c r="F90" s="447" t="s">
        <v>62</v>
      </c>
      <c r="G90" s="532" t="s">
        <v>63</v>
      </c>
      <c r="I90" s="450" t="s">
        <v>64</v>
      </c>
    </row>
    <row r="91" spans="1:12" ht="26.25" customHeight="1" x14ac:dyDescent="0.4">
      <c r="A91" s="444" t="s">
        <v>65</v>
      </c>
      <c r="B91" s="445">
        <v>1</v>
      </c>
      <c r="C91" s="533">
        <v>1</v>
      </c>
      <c r="D91" s="600">
        <v>9804546</v>
      </c>
      <c r="E91" s="453">
        <f>IF(ISBLANK(D91),"-",$D$101/$D$98*D91)</f>
        <v>11006467.370782031</v>
      </c>
      <c r="F91" s="600">
        <v>10200548</v>
      </c>
      <c r="G91" s="454">
        <f>IF(ISBLANK(F91),"-",$D$101/$F$98*F91)</f>
        <v>11045718.017697915</v>
      </c>
      <c r="I91" s="455"/>
    </row>
    <row r="92" spans="1:12" ht="26.25" customHeight="1" x14ac:dyDescent="0.4">
      <c r="A92" s="444" t="s">
        <v>66</v>
      </c>
      <c r="B92" s="445">
        <v>1</v>
      </c>
      <c r="C92" s="517">
        <v>2</v>
      </c>
      <c r="D92" s="601">
        <v>9805854</v>
      </c>
      <c r="E92" s="458">
        <f>IF(ISBLANK(D92),"-",$D$101/$D$98*D92)</f>
        <v>11007935.716110921</v>
      </c>
      <c r="F92" s="601">
        <v>10212138</v>
      </c>
      <c r="G92" s="459">
        <f>IF(ISBLANK(F92),"-",$D$101/$F$98*F92)</f>
        <v>11058268.311253235</v>
      </c>
      <c r="I92" s="885">
        <f>ABS((F96/D96*D95)-F95)/D95</f>
        <v>4.1459829882066167E-3</v>
      </c>
    </row>
    <row r="93" spans="1:12" ht="26.25" customHeight="1" x14ac:dyDescent="0.4">
      <c r="A93" s="444" t="s">
        <v>67</v>
      </c>
      <c r="B93" s="445">
        <v>1</v>
      </c>
      <c r="C93" s="517">
        <v>3</v>
      </c>
      <c r="D93" s="601">
        <v>9803327</v>
      </c>
      <c r="E93" s="458">
        <f>IF(ISBLANK(D93),"-",$D$101/$D$98*D93)</f>
        <v>11005098.935800444</v>
      </c>
      <c r="F93" s="601">
        <v>10202257</v>
      </c>
      <c r="G93" s="459">
        <f>IF(ISBLANK(F93),"-",$D$101/$F$98*F93)</f>
        <v>11047568.617498264</v>
      </c>
      <c r="I93" s="885"/>
    </row>
    <row r="94" spans="1:12" ht="27" customHeight="1" x14ac:dyDescent="0.4">
      <c r="A94" s="444" t="s">
        <v>68</v>
      </c>
      <c r="B94" s="445">
        <v>1</v>
      </c>
      <c r="C94" s="534">
        <v>4</v>
      </c>
      <c r="D94" s="602"/>
      <c r="E94" s="463" t="str">
        <f>IF(ISBLANK(D94),"-",$D$101/$D$98*D94)</f>
        <v>-</v>
      </c>
      <c r="F94" s="602"/>
      <c r="G94" s="464" t="str">
        <f>IF(ISBLANK(F94),"-",$D$101/$F$98*F94)</f>
        <v>-</v>
      </c>
      <c r="I94" s="465"/>
    </row>
    <row r="95" spans="1:12" ht="27" customHeight="1" x14ac:dyDescent="0.4">
      <c r="A95" s="444" t="s">
        <v>69</v>
      </c>
      <c r="B95" s="445">
        <v>1</v>
      </c>
      <c r="C95" s="535" t="s">
        <v>70</v>
      </c>
      <c r="D95" s="536">
        <f>AVERAGE(D91:D94)</f>
        <v>9804575.666666666</v>
      </c>
      <c r="E95" s="468">
        <f>AVERAGE(E91:E94)</f>
        <v>11006500.674231132</v>
      </c>
      <c r="F95" s="537">
        <f>AVERAGE(F91:F94)</f>
        <v>10204981</v>
      </c>
      <c r="G95" s="538">
        <f>AVERAGE(G91:G94)</f>
        <v>11050518.315483138</v>
      </c>
    </row>
    <row r="96" spans="1:12" ht="26.25" customHeight="1" x14ac:dyDescent="0.4">
      <c r="A96" s="444" t="s">
        <v>71</v>
      </c>
      <c r="B96" s="430">
        <v>1</v>
      </c>
      <c r="C96" s="539" t="s">
        <v>112</v>
      </c>
      <c r="D96" s="540">
        <f>D43</f>
        <v>39.79</v>
      </c>
      <c r="E96" s="460"/>
      <c r="F96" s="472">
        <f>F43</f>
        <v>41.25</v>
      </c>
    </row>
    <row r="97" spans="1:10" ht="26.25" customHeight="1" x14ac:dyDescent="0.4">
      <c r="A97" s="444" t="s">
        <v>73</v>
      </c>
      <c r="B97" s="430">
        <v>1</v>
      </c>
      <c r="C97" s="541" t="s">
        <v>113</v>
      </c>
      <c r="D97" s="542">
        <f>D96*$B$87</f>
        <v>39.79</v>
      </c>
      <c r="E97" s="475"/>
      <c r="F97" s="474">
        <f>F96*$B$87</f>
        <v>41.25</v>
      </c>
    </row>
    <row r="98" spans="1:10" ht="19.5" customHeight="1" x14ac:dyDescent="0.3">
      <c r="A98" s="444" t="s">
        <v>75</v>
      </c>
      <c r="B98" s="543">
        <f>(B97/B96)*(B95/B94)*(B93/B92)*(B91/B90)*B89</f>
        <v>100</v>
      </c>
      <c r="C98" s="541" t="s">
        <v>114</v>
      </c>
      <c r="D98" s="544">
        <f>D97*$B$83/100</f>
        <v>39.591050000000003</v>
      </c>
      <c r="E98" s="478"/>
      <c r="F98" s="477">
        <f>F97*$B$83/100</f>
        <v>41.043750000000003</v>
      </c>
    </row>
    <row r="99" spans="1:10" ht="19.5" customHeight="1" x14ac:dyDescent="0.3">
      <c r="A99" s="886" t="s">
        <v>77</v>
      </c>
      <c r="B99" s="900"/>
      <c r="C99" s="541" t="s">
        <v>115</v>
      </c>
      <c r="D99" s="545">
        <f>D98/$B$98</f>
        <v>0.39591050000000005</v>
      </c>
      <c r="E99" s="478"/>
      <c r="F99" s="481">
        <f>F98/$B$98</f>
        <v>0.41043750000000001</v>
      </c>
      <c r="G99" s="546"/>
      <c r="H99" s="470"/>
    </row>
    <row r="100" spans="1:10" ht="19.5" customHeight="1" x14ac:dyDescent="0.3">
      <c r="A100" s="888"/>
      <c r="B100" s="901"/>
      <c r="C100" s="541" t="s">
        <v>79</v>
      </c>
      <c r="D100" s="547">
        <f>$B$56/$B$116</f>
        <v>0.44444444444444442</v>
      </c>
      <c r="F100" s="486"/>
      <c r="G100" s="548"/>
      <c r="H100" s="470"/>
    </row>
    <row r="101" spans="1:10" ht="18.75" x14ac:dyDescent="0.3">
      <c r="C101" s="541" t="s">
        <v>80</v>
      </c>
      <c r="D101" s="542">
        <f>D100*$B$98</f>
        <v>44.444444444444443</v>
      </c>
      <c r="F101" s="486"/>
      <c r="G101" s="546"/>
      <c r="H101" s="470"/>
    </row>
    <row r="102" spans="1:10" ht="19.5" customHeight="1" x14ac:dyDescent="0.3">
      <c r="C102" s="549" t="s">
        <v>81</v>
      </c>
      <c r="D102" s="550">
        <f>D101/B34</f>
        <v>44.444444444444443</v>
      </c>
      <c r="F102" s="490"/>
      <c r="G102" s="546"/>
      <c r="H102" s="470"/>
      <c r="J102" s="551"/>
    </row>
    <row r="103" spans="1:10" ht="18.75" x14ac:dyDescent="0.3">
      <c r="C103" s="552" t="s">
        <v>116</v>
      </c>
      <c r="D103" s="553">
        <f>AVERAGE(E91:E94,G91:G94)</f>
        <v>11028509.494857134</v>
      </c>
      <c r="F103" s="490"/>
      <c r="G103" s="554"/>
      <c r="H103" s="470"/>
      <c r="J103" s="555"/>
    </row>
    <row r="104" spans="1:10" ht="18.75" x14ac:dyDescent="0.3">
      <c r="C104" s="520" t="s">
        <v>83</v>
      </c>
      <c r="D104" s="556">
        <f>STDEV(E91:E94,G91:G94)/D103</f>
        <v>2.2218519960426047E-3</v>
      </c>
      <c r="F104" s="490"/>
      <c r="G104" s="546"/>
      <c r="H104" s="470"/>
      <c r="J104" s="555"/>
    </row>
    <row r="105" spans="1:10" ht="19.5" customHeight="1" x14ac:dyDescent="0.3">
      <c r="C105" s="522" t="s">
        <v>19</v>
      </c>
      <c r="D105" s="557">
        <f>COUNT(E91:E94,G91:G94)</f>
        <v>6</v>
      </c>
      <c r="F105" s="490"/>
      <c r="G105" s="546"/>
      <c r="H105" s="470"/>
      <c r="J105" s="555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117</v>
      </c>
      <c r="B107" s="443">
        <v>900</v>
      </c>
      <c r="C107" s="558" t="s">
        <v>118</v>
      </c>
      <c r="D107" s="559" t="s">
        <v>62</v>
      </c>
      <c r="E107" s="560" t="s">
        <v>119</v>
      </c>
      <c r="F107" s="561" t="s">
        <v>120</v>
      </c>
    </row>
    <row r="108" spans="1:10" ht="26.25" customHeight="1" x14ac:dyDescent="0.4">
      <c r="A108" s="444" t="s">
        <v>121</v>
      </c>
      <c r="B108" s="445">
        <v>1</v>
      </c>
      <c r="C108" s="562">
        <v>1</v>
      </c>
      <c r="D108" s="563">
        <v>10269390</v>
      </c>
      <c r="E108" s="594">
        <f t="shared" ref="E108:E113" si="1">IF(ISBLANK(D108),"-",D108/$D$103*$D$100*$B$116)</f>
        <v>372.46701396190912</v>
      </c>
      <c r="F108" s="564">
        <f t="shared" ref="F108:F113" si="2">IF(ISBLANK(D108), "-", E108/$B$56)</f>
        <v>0.93116753490477278</v>
      </c>
    </row>
    <row r="109" spans="1:10" ht="26.25" customHeight="1" x14ac:dyDescent="0.4">
      <c r="A109" s="444" t="s">
        <v>94</v>
      </c>
      <c r="B109" s="445">
        <v>1</v>
      </c>
      <c r="C109" s="562">
        <v>2</v>
      </c>
      <c r="D109" s="563">
        <v>10282769</v>
      </c>
      <c r="E109" s="595">
        <f t="shared" si="1"/>
        <v>372.95226539162371</v>
      </c>
      <c r="F109" s="565">
        <f t="shared" si="2"/>
        <v>0.93238066347905924</v>
      </c>
    </row>
    <row r="110" spans="1:10" ht="26.25" customHeight="1" x14ac:dyDescent="0.4">
      <c r="A110" s="444" t="s">
        <v>95</v>
      </c>
      <c r="B110" s="445">
        <v>1</v>
      </c>
      <c r="C110" s="562">
        <v>3</v>
      </c>
      <c r="D110" s="563">
        <v>10298126</v>
      </c>
      <c r="E110" s="595">
        <f t="shared" si="1"/>
        <v>373.50925815686224</v>
      </c>
      <c r="F110" s="565">
        <f t="shared" si="2"/>
        <v>0.93377314539215561</v>
      </c>
    </row>
    <row r="111" spans="1:10" ht="26.25" customHeight="1" x14ac:dyDescent="0.4">
      <c r="A111" s="444" t="s">
        <v>96</v>
      </c>
      <c r="B111" s="445">
        <v>1</v>
      </c>
      <c r="C111" s="562">
        <v>4</v>
      </c>
      <c r="D111" s="563">
        <v>10292751</v>
      </c>
      <c r="E111" s="595">
        <f t="shared" si="1"/>
        <v>373.31430887554711</v>
      </c>
      <c r="F111" s="565">
        <f t="shared" si="2"/>
        <v>0.93328577218886777</v>
      </c>
    </row>
    <row r="112" spans="1:10" ht="26.25" customHeight="1" x14ac:dyDescent="0.4">
      <c r="A112" s="444" t="s">
        <v>97</v>
      </c>
      <c r="B112" s="445">
        <v>1</v>
      </c>
      <c r="C112" s="562">
        <v>5</v>
      </c>
      <c r="D112" s="563">
        <v>10272744</v>
      </c>
      <c r="E112" s="595">
        <f t="shared" si="1"/>
        <v>372.58866231344979</v>
      </c>
      <c r="F112" s="565">
        <f t="shared" si="2"/>
        <v>0.93147165578362445</v>
      </c>
    </row>
    <row r="113" spans="1:10" ht="26.25" customHeight="1" x14ac:dyDescent="0.4">
      <c r="A113" s="444" t="s">
        <v>99</v>
      </c>
      <c r="B113" s="445">
        <v>1</v>
      </c>
      <c r="C113" s="566">
        <v>6</v>
      </c>
      <c r="D113" s="567">
        <v>10288018</v>
      </c>
      <c r="E113" s="596">
        <f t="shared" si="1"/>
        <v>373.14264469908852</v>
      </c>
      <c r="F113" s="568">
        <f t="shared" si="2"/>
        <v>0.93285661174772128</v>
      </c>
    </row>
    <row r="114" spans="1:10" ht="26.25" customHeight="1" x14ac:dyDescent="0.4">
      <c r="A114" s="444" t="s">
        <v>100</v>
      </c>
      <c r="B114" s="445">
        <v>1</v>
      </c>
      <c r="C114" s="562"/>
      <c r="D114" s="517"/>
      <c r="E114" s="419"/>
      <c r="F114" s="569"/>
    </row>
    <row r="115" spans="1:10" ht="26.25" customHeight="1" x14ac:dyDescent="0.4">
      <c r="A115" s="444" t="s">
        <v>101</v>
      </c>
      <c r="B115" s="445">
        <v>1</v>
      </c>
      <c r="C115" s="562"/>
      <c r="D115" s="570" t="s">
        <v>70</v>
      </c>
      <c r="E115" s="598">
        <f>AVERAGE(E108:E113)</f>
        <v>372.99569223308004</v>
      </c>
      <c r="F115" s="571">
        <f>AVERAGE(F108:F113)</f>
        <v>0.93248923058270006</v>
      </c>
    </row>
    <row r="116" spans="1:10" ht="27" customHeight="1" x14ac:dyDescent="0.4">
      <c r="A116" s="444" t="s">
        <v>102</v>
      </c>
      <c r="B116" s="476">
        <f>(B115/B114)*(B113/B112)*(B111/B110)*(B109/B108)*B107</f>
        <v>900</v>
      </c>
      <c r="C116" s="572"/>
      <c r="D116" s="535" t="s">
        <v>83</v>
      </c>
      <c r="E116" s="573">
        <f>STDEV(E108:E113)/E115</f>
        <v>1.0948982708949171E-3</v>
      </c>
      <c r="F116" s="573">
        <f>STDEV(F108:F113)/F115</f>
        <v>1.0948982708949226E-3</v>
      </c>
      <c r="I116" s="419"/>
    </row>
    <row r="117" spans="1:10" ht="27" customHeight="1" x14ac:dyDescent="0.4">
      <c r="A117" s="886" t="s">
        <v>77</v>
      </c>
      <c r="B117" s="887"/>
      <c r="C117" s="574"/>
      <c r="D117" s="575" t="s">
        <v>19</v>
      </c>
      <c r="E117" s="576">
        <f>COUNT(E108:E113)</f>
        <v>6</v>
      </c>
      <c r="F117" s="576">
        <f>COUNT(F108:F113)</f>
        <v>6</v>
      </c>
      <c r="I117" s="419"/>
      <c r="J117" s="555"/>
    </row>
    <row r="118" spans="1:10" ht="19.5" customHeight="1" x14ac:dyDescent="0.3">
      <c r="A118" s="888"/>
      <c r="B118" s="889"/>
      <c r="C118" s="419"/>
      <c r="D118" s="419"/>
      <c r="E118" s="419"/>
      <c r="F118" s="517"/>
      <c r="G118" s="419"/>
      <c r="H118" s="419"/>
      <c r="I118" s="419"/>
    </row>
    <row r="119" spans="1:10" ht="18.75" x14ac:dyDescent="0.3">
      <c r="A119" s="585"/>
      <c r="B119" s="440"/>
      <c r="C119" s="419"/>
      <c r="D119" s="419"/>
      <c r="E119" s="419"/>
      <c r="F119" s="517"/>
      <c r="G119" s="419"/>
      <c r="H119" s="419"/>
      <c r="I119" s="419"/>
    </row>
    <row r="120" spans="1:10" ht="26.25" customHeight="1" x14ac:dyDescent="0.4">
      <c r="A120" s="428" t="s">
        <v>105</v>
      </c>
      <c r="B120" s="524" t="s">
        <v>122</v>
      </c>
      <c r="C120" s="898" t="str">
        <f>B20</f>
        <v>PYRAZINAMIDE</v>
      </c>
      <c r="D120" s="898"/>
      <c r="E120" s="525" t="s">
        <v>123</v>
      </c>
      <c r="F120" s="525"/>
      <c r="G120" s="526">
        <f>F115</f>
        <v>0.93248923058270006</v>
      </c>
      <c r="H120" s="419"/>
      <c r="I120" s="419"/>
    </row>
    <row r="121" spans="1:10" ht="19.5" customHeight="1" x14ac:dyDescent="0.3">
      <c r="A121" s="577"/>
      <c r="B121" s="577"/>
      <c r="C121" s="578"/>
      <c r="D121" s="578"/>
      <c r="E121" s="578"/>
      <c r="F121" s="578"/>
      <c r="G121" s="578"/>
      <c r="H121" s="578"/>
    </row>
    <row r="122" spans="1:10" ht="18.75" x14ac:dyDescent="0.3">
      <c r="B122" s="899" t="s">
        <v>25</v>
      </c>
      <c r="C122" s="899"/>
      <c r="E122" s="531" t="s">
        <v>26</v>
      </c>
      <c r="F122" s="579"/>
      <c r="G122" s="899" t="s">
        <v>27</v>
      </c>
      <c r="H122" s="899"/>
    </row>
    <row r="123" spans="1:10" ht="69.95" customHeight="1" x14ac:dyDescent="0.3">
      <c r="A123" s="580" t="s">
        <v>28</v>
      </c>
      <c r="B123" s="581"/>
      <c r="C123" s="581"/>
      <c r="E123" s="581"/>
      <c r="F123" s="419"/>
      <c r="G123" s="582"/>
      <c r="H123" s="582"/>
    </row>
    <row r="124" spans="1:10" ht="69.95" customHeight="1" x14ac:dyDescent="0.3">
      <c r="A124" s="580" t="s">
        <v>29</v>
      </c>
      <c r="B124" s="583"/>
      <c r="C124" s="583"/>
      <c r="E124" s="583"/>
      <c r="F124" s="419"/>
      <c r="G124" s="584"/>
      <c r="H124" s="584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9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9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9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9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9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9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9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9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24062500000000001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B20" sqref="B20"/>
    </sheetView>
  </sheetViews>
  <sheetFormatPr defaultRowHeight="13.5" x14ac:dyDescent="0.25"/>
  <cols>
    <col min="1" max="1" width="27.5703125" style="656" customWidth="1"/>
    <col min="2" max="2" width="20.42578125" style="656" customWidth="1"/>
    <col min="3" max="3" width="31.85546875" style="656" customWidth="1"/>
    <col min="4" max="4" width="25.85546875" style="656" customWidth="1"/>
    <col min="5" max="5" width="25.7109375" style="656" customWidth="1"/>
    <col min="6" max="6" width="23.140625" style="656" customWidth="1"/>
    <col min="7" max="7" width="28.42578125" style="656" customWidth="1"/>
    <col min="8" max="8" width="21.5703125" style="656" customWidth="1"/>
    <col min="9" max="9" width="9.140625" style="656" customWidth="1"/>
    <col min="10" max="16384" width="9.140625" style="692"/>
  </cols>
  <sheetData>
    <row r="14" spans="1:6" ht="15" customHeight="1" x14ac:dyDescent="0.3">
      <c r="A14" s="655"/>
      <c r="C14" s="657"/>
      <c r="F14" s="657"/>
    </row>
    <row r="15" spans="1:6" ht="18.75" customHeight="1" x14ac:dyDescent="0.3">
      <c r="A15" s="910" t="s">
        <v>0</v>
      </c>
      <c r="B15" s="910"/>
      <c r="C15" s="910"/>
      <c r="D15" s="910"/>
      <c r="E15" s="910"/>
    </row>
    <row r="16" spans="1:6" ht="16.5" customHeight="1" x14ac:dyDescent="0.3">
      <c r="A16" s="658" t="s">
        <v>1</v>
      </c>
      <c r="B16" s="659" t="s">
        <v>2</v>
      </c>
    </row>
    <row r="17" spans="1:5" ht="16.5" customHeight="1" x14ac:dyDescent="0.3">
      <c r="A17" s="660" t="s">
        <v>3</v>
      </c>
      <c r="B17" s="660" t="s">
        <v>5</v>
      </c>
      <c r="D17" s="661"/>
      <c r="E17" s="662"/>
    </row>
    <row r="18" spans="1:5" ht="16.5" customHeight="1" x14ac:dyDescent="0.3">
      <c r="A18" s="663" t="s">
        <v>4</v>
      </c>
      <c r="B18" s="663" t="s">
        <v>140</v>
      </c>
      <c r="C18" s="662"/>
      <c r="D18" s="662"/>
      <c r="E18" s="662"/>
    </row>
    <row r="19" spans="1:5" ht="16.5" customHeight="1" x14ac:dyDescent="0.3">
      <c r="A19" s="663" t="s">
        <v>6</v>
      </c>
      <c r="B19" s="664" t="s">
        <v>144</v>
      </c>
      <c r="C19" s="662"/>
      <c r="D19" s="662"/>
      <c r="E19" s="662"/>
    </row>
    <row r="20" spans="1:5" ht="16.5" customHeight="1" x14ac:dyDescent="0.3">
      <c r="A20" s="660" t="s">
        <v>7</v>
      </c>
      <c r="B20" s="664">
        <v>33.26</v>
      </c>
      <c r="C20" s="662"/>
      <c r="D20" s="662"/>
      <c r="E20" s="662"/>
    </row>
    <row r="21" spans="1:5" ht="16.5" customHeight="1" x14ac:dyDescent="0.3">
      <c r="A21" s="660" t="s">
        <v>9</v>
      </c>
      <c r="B21" s="665">
        <f>B20/100</f>
        <v>0.33260000000000001</v>
      </c>
      <c r="C21" s="662"/>
      <c r="D21" s="662"/>
      <c r="E21" s="662"/>
    </row>
    <row r="22" spans="1:5" ht="15.75" customHeight="1" x14ac:dyDescent="0.25">
      <c r="A22" s="662"/>
      <c r="B22" s="662"/>
      <c r="C22" s="662"/>
      <c r="D22" s="662"/>
      <c r="E22" s="662"/>
    </row>
    <row r="23" spans="1:5" ht="16.5" customHeight="1" x14ac:dyDescent="0.3">
      <c r="A23" s="666" t="s">
        <v>12</v>
      </c>
      <c r="B23" s="667" t="s">
        <v>13</v>
      </c>
      <c r="C23" s="666" t="s">
        <v>14</v>
      </c>
      <c r="D23" s="666" t="s">
        <v>15</v>
      </c>
      <c r="E23" s="666" t="s">
        <v>16</v>
      </c>
    </row>
    <row r="24" spans="1:5" ht="16.5" customHeight="1" x14ac:dyDescent="0.3">
      <c r="A24" s="668">
        <v>1</v>
      </c>
      <c r="B24" s="669">
        <v>3256014</v>
      </c>
      <c r="C24" s="669">
        <v>12800.8</v>
      </c>
      <c r="D24" s="670">
        <v>1.2</v>
      </c>
      <c r="E24" s="671">
        <v>4.5</v>
      </c>
    </row>
    <row r="25" spans="1:5" ht="16.5" customHeight="1" x14ac:dyDescent="0.3">
      <c r="A25" s="668">
        <v>2</v>
      </c>
      <c r="B25" s="669">
        <v>3247663</v>
      </c>
      <c r="C25" s="669">
        <v>12827.5</v>
      </c>
      <c r="D25" s="670">
        <v>1.2</v>
      </c>
      <c r="E25" s="670">
        <v>4.5</v>
      </c>
    </row>
    <row r="26" spans="1:5" ht="16.5" customHeight="1" x14ac:dyDescent="0.3">
      <c r="A26" s="668">
        <v>3</v>
      </c>
      <c r="B26" s="669">
        <v>3250365</v>
      </c>
      <c r="C26" s="669">
        <v>12805.7</v>
      </c>
      <c r="D26" s="670">
        <v>1.1000000000000001</v>
      </c>
      <c r="E26" s="670">
        <v>4.5</v>
      </c>
    </row>
    <row r="27" spans="1:5" ht="16.5" customHeight="1" x14ac:dyDescent="0.3">
      <c r="A27" s="668">
        <v>4</v>
      </c>
      <c r="B27" s="669">
        <v>3246653</v>
      </c>
      <c r="C27" s="669">
        <v>12778.3</v>
      </c>
      <c r="D27" s="670">
        <v>1.1000000000000001</v>
      </c>
      <c r="E27" s="670">
        <v>4.5</v>
      </c>
    </row>
    <row r="28" spans="1:5" ht="16.5" customHeight="1" x14ac:dyDescent="0.3">
      <c r="A28" s="668">
        <v>5</v>
      </c>
      <c r="B28" s="669">
        <v>3243670</v>
      </c>
      <c r="C28" s="669">
        <v>12721.5</v>
      </c>
      <c r="D28" s="670">
        <v>1.2</v>
      </c>
      <c r="E28" s="670">
        <v>4.5</v>
      </c>
    </row>
    <row r="29" spans="1:5" ht="16.5" customHeight="1" x14ac:dyDescent="0.3">
      <c r="A29" s="668">
        <v>6</v>
      </c>
      <c r="B29" s="672">
        <v>3239308</v>
      </c>
      <c r="C29" s="672">
        <v>12774.1</v>
      </c>
      <c r="D29" s="673">
        <v>1.1000000000000001</v>
      </c>
      <c r="E29" s="673">
        <v>4.3</v>
      </c>
    </row>
    <row r="30" spans="1:5" ht="16.5" customHeight="1" x14ac:dyDescent="0.3">
      <c r="A30" s="674" t="s">
        <v>17</v>
      </c>
      <c r="B30" s="675">
        <f>AVERAGE(B24:B29)</f>
        <v>3247278.8333333335</v>
      </c>
      <c r="C30" s="676">
        <f>AVERAGE(C24:C29)</f>
        <v>12784.650000000001</v>
      </c>
      <c r="D30" s="677">
        <f>AVERAGE(D24:D29)</f>
        <v>1.1500000000000001</v>
      </c>
      <c r="E30" s="677">
        <f>AVERAGE(E24:E29)</f>
        <v>4.4666666666666668</v>
      </c>
    </row>
    <row r="31" spans="1:5" ht="16.5" customHeight="1" x14ac:dyDescent="0.3">
      <c r="A31" s="678" t="s">
        <v>18</v>
      </c>
      <c r="B31" s="679">
        <f>(STDEV(B24:B29)/B30)</f>
        <v>1.7578784721686985E-3</v>
      </c>
      <c r="C31" s="680"/>
      <c r="D31" s="680"/>
      <c r="E31" s="681"/>
    </row>
    <row r="32" spans="1:5" s="656" customFormat="1" ht="16.5" customHeight="1" x14ac:dyDescent="0.3">
      <c r="A32" s="682" t="s">
        <v>19</v>
      </c>
      <c r="B32" s="683">
        <f>COUNT(B24:B29)</f>
        <v>6</v>
      </c>
      <c r="C32" s="684"/>
      <c r="D32" s="685"/>
      <c r="E32" s="686"/>
    </row>
    <row r="33" spans="1:5" s="656" customFormat="1" ht="15.75" customHeight="1" x14ac:dyDescent="0.25">
      <c r="A33" s="662"/>
      <c r="B33" s="662"/>
      <c r="C33" s="662"/>
      <c r="D33" s="662"/>
      <c r="E33" s="662"/>
    </row>
    <row r="34" spans="1:5" s="656" customFormat="1" ht="16.5" customHeight="1" x14ac:dyDescent="0.3">
      <c r="A34" s="663" t="s">
        <v>20</v>
      </c>
      <c r="B34" s="687" t="s">
        <v>21</v>
      </c>
      <c r="C34" s="688"/>
      <c r="D34" s="688"/>
      <c r="E34" s="688"/>
    </row>
    <row r="35" spans="1:5" ht="16.5" customHeight="1" x14ac:dyDescent="0.3">
      <c r="A35" s="663"/>
      <c r="B35" s="687" t="s">
        <v>22</v>
      </c>
      <c r="C35" s="688"/>
      <c r="D35" s="688"/>
      <c r="E35" s="688"/>
    </row>
    <row r="36" spans="1:5" ht="16.5" customHeight="1" x14ac:dyDescent="0.3">
      <c r="A36" s="663"/>
      <c r="B36" s="687" t="s">
        <v>23</v>
      </c>
      <c r="C36" s="688"/>
      <c r="D36" s="688"/>
      <c r="E36" s="688"/>
    </row>
    <row r="37" spans="1:5" ht="15.75" customHeight="1" x14ac:dyDescent="0.25">
      <c r="A37" s="662"/>
      <c r="B37" s="662"/>
      <c r="C37" s="662"/>
      <c r="D37" s="662"/>
      <c r="E37" s="662"/>
    </row>
    <row r="38" spans="1:5" ht="16.5" customHeight="1" x14ac:dyDescent="0.3">
      <c r="A38" s="658" t="s">
        <v>1</v>
      </c>
      <c r="B38" s="659" t="s">
        <v>24</v>
      </c>
    </row>
    <row r="39" spans="1:5" ht="16.5" customHeight="1" x14ac:dyDescent="0.3">
      <c r="A39" s="663" t="s">
        <v>4</v>
      </c>
      <c r="B39" s="660"/>
      <c r="C39" s="662"/>
      <c r="D39" s="662"/>
      <c r="E39" s="662"/>
    </row>
    <row r="40" spans="1:5" ht="16.5" customHeight="1" x14ac:dyDescent="0.3">
      <c r="A40" s="663" t="s">
        <v>6</v>
      </c>
      <c r="B40" s="664"/>
      <c r="C40" s="662"/>
      <c r="D40" s="662"/>
      <c r="E40" s="662"/>
    </row>
    <row r="41" spans="1:5" ht="16.5" customHeight="1" x14ac:dyDescent="0.3">
      <c r="A41" s="660" t="s">
        <v>7</v>
      </c>
      <c r="B41" s="664"/>
      <c r="C41" s="662"/>
      <c r="D41" s="662"/>
      <c r="E41" s="662"/>
    </row>
    <row r="42" spans="1:5" ht="16.5" customHeight="1" x14ac:dyDescent="0.3">
      <c r="A42" s="660" t="s">
        <v>9</v>
      </c>
      <c r="B42" s="665"/>
      <c r="C42" s="662"/>
      <c r="D42" s="662"/>
      <c r="E42" s="662"/>
    </row>
    <row r="43" spans="1:5" ht="15.75" customHeight="1" x14ac:dyDescent="0.25">
      <c r="A43" s="662"/>
      <c r="B43" s="662"/>
      <c r="C43" s="662"/>
      <c r="D43" s="662"/>
      <c r="E43" s="662"/>
    </row>
    <row r="44" spans="1:5" ht="16.5" customHeight="1" x14ac:dyDescent="0.3">
      <c r="A44" s="666" t="s">
        <v>12</v>
      </c>
      <c r="B44" s="667" t="s">
        <v>13</v>
      </c>
      <c r="C44" s="666" t="s">
        <v>14</v>
      </c>
      <c r="D44" s="666" t="s">
        <v>15</v>
      </c>
      <c r="E44" s="666" t="s">
        <v>16</v>
      </c>
    </row>
    <row r="45" spans="1:5" ht="16.5" customHeight="1" x14ac:dyDescent="0.3">
      <c r="A45" s="668">
        <v>1</v>
      </c>
      <c r="B45" s="669">
        <v>3256014</v>
      </c>
      <c r="C45" s="669">
        <v>12800.8</v>
      </c>
      <c r="D45" s="670">
        <v>1.2</v>
      </c>
      <c r="E45" s="671">
        <v>4.5</v>
      </c>
    </row>
    <row r="46" spans="1:5" ht="16.5" customHeight="1" x14ac:dyDescent="0.3">
      <c r="A46" s="668">
        <v>2</v>
      </c>
      <c r="B46" s="669">
        <v>3247663</v>
      </c>
      <c r="C46" s="669">
        <v>12827.5</v>
      </c>
      <c r="D46" s="670">
        <v>1.2</v>
      </c>
      <c r="E46" s="670">
        <v>4.5</v>
      </c>
    </row>
    <row r="47" spans="1:5" ht="16.5" customHeight="1" x14ac:dyDescent="0.3">
      <c r="A47" s="668">
        <v>3</v>
      </c>
      <c r="B47" s="669">
        <v>3250365</v>
      </c>
      <c r="C47" s="669">
        <v>12805.7</v>
      </c>
      <c r="D47" s="670">
        <v>1.1000000000000001</v>
      </c>
      <c r="E47" s="670">
        <v>4.5</v>
      </c>
    </row>
    <row r="48" spans="1:5" ht="16.5" customHeight="1" x14ac:dyDescent="0.3">
      <c r="A48" s="668">
        <v>4</v>
      </c>
      <c r="B48" s="669">
        <v>3246653</v>
      </c>
      <c r="C48" s="669">
        <v>12778.3</v>
      </c>
      <c r="D48" s="670">
        <v>1.1000000000000001</v>
      </c>
      <c r="E48" s="670">
        <v>4.5</v>
      </c>
    </row>
    <row r="49" spans="1:7" ht="16.5" customHeight="1" x14ac:dyDescent="0.3">
      <c r="A49" s="668">
        <v>5</v>
      </c>
      <c r="B49" s="669">
        <v>3243670</v>
      </c>
      <c r="C49" s="669">
        <v>12721.5</v>
      </c>
      <c r="D49" s="670">
        <v>1.2</v>
      </c>
      <c r="E49" s="670">
        <v>4.5</v>
      </c>
    </row>
    <row r="50" spans="1:7" ht="16.5" customHeight="1" x14ac:dyDescent="0.3">
      <c r="A50" s="668">
        <v>6</v>
      </c>
      <c r="B50" s="672">
        <v>3239308</v>
      </c>
      <c r="C50" s="672">
        <v>12774.1</v>
      </c>
      <c r="D50" s="673">
        <v>1.1000000000000001</v>
      </c>
      <c r="E50" s="673">
        <v>4.3</v>
      </c>
    </row>
    <row r="51" spans="1:7" ht="16.5" customHeight="1" x14ac:dyDescent="0.3">
      <c r="A51" s="674" t="s">
        <v>17</v>
      </c>
      <c r="B51" s="675">
        <f>AVERAGE(B45:B50)</f>
        <v>3247278.8333333335</v>
      </c>
      <c r="C51" s="676">
        <f>AVERAGE(C45:C50)</f>
        <v>12784.650000000001</v>
      </c>
      <c r="D51" s="677">
        <f>AVERAGE(D45:D50)</f>
        <v>1.1500000000000001</v>
      </c>
      <c r="E51" s="677">
        <f>AVERAGE(E45:E50)</f>
        <v>4.4666666666666668</v>
      </c>
    </row>
    <row r="52" spans="1:7" ht="16.5" customHeight="1" x14ac:dyDescent="0.3">
      <c r="A52" s="678" t="s">
        <v>18</v>
      </c>
      <c r="B52" s="679">
        <f>(STDEV(B45:B50)/B51)</f>
        <v>1.7578784721686985E-3</v>
      </c>
      <c r="C52" s="680"/>
      <c r="D52" s="680"/>
      <c r="E52" s="681"/>
    </row>
    <row r="53" spans="1:7" s="656" customFormat="1" ht="16.5" customHeight="1" x14ac:dyDescent="0.3">
      <c r="A53" s="682" t="s">
        <v>19</v>
      </c>
      <c r="B53" s="683">
        <f>COUNT(B45:B50)</f>
        <v>6</v>
      </c>
      <c r="C53" s="684"/>
      <c r="D53" s="685"/>
      <c r="E53" s="686"/>
    </row>
    <row r="54" spans="1:7" s="656" customFormat="1" ht="15.75" customHeight="1" x14ac:dyDescent="0.25">
      <c r="A54" s="662"/>
      <c r="B54" s="662"/>
      <c r="C54" s="662"/>
      <c r="D54" s="662"/>
      <c r="E54" s="662"/>
    </row>
    <row r="55" spans="1:7" s="656" customFormat="1" ht="16.5" customHeight="1" x14ac:dyDescent="0.3">
      <c r="A55" s="663" t="s">
        <v>20</v>
      </c>
      <c r="B55" s="687" t="s">
        <v>21</v>
      </c>
      <c r="C55" s="688"/>
      <c r="D55" s="688"/>
      <c r="E55" s="688"/>
    </row>
    <row r="56" spans="1:7" ht="16.5" customHeight="1" x14ac:dyDescent="0.3">
      <c r="A56" s="663"/>
      <c r="B56" s="687" t="s">
        <v>22</v>
      </c>
      <c r="C56" s="688"/>
      <c r="D56" s="688"/>
      <c r="E56" s="688"/>
    </row>
    <row r="57" spans="1:7" ht="16.5" customHeight="1" x14ac:dyDescent="0.3">
      <c r="A57" s="663"/>
      <c r="B57" s="687" t="s">
        <v>23</v>
      </c>
      <c r="C57" s="688"/>
      <c r="D57" s="688"/>
      <c r="E57" s="688"/>
    </row>
    <row r="58" spans="1:7" ht="14.25" customHeight="1" thickBot="1" x14ac:dyDescent="0.3">
      <c r="A58" s="689"/>
      <c r="B58" s="690"/>
      <c r="D58" s="691"/>
      <c r="F58" s="692"/>
      <c r="G58" s="692"/>
    </row>
    <row r="59" spans="1:7" ht="15" customHeight="1" x14ac:dyDescent="0.3">
      <c r="B59" s="911" t="s">
        <v>25</v>
      </c>
      <c r="C59" s="911"/>
      <c r="E59" s="693" t="s">
        <v>26</v>
      </c>
      <c r="F59" s="694"/>
      <c r="G59" s="693" t="s">
        <v>27</v>
      </c>
    </row>
    <row r="60" spans="1:7" ht="15" customHeight="1" x14ac:dyDescent="0.3">
      <c r="A60" s="695" t="s">
        <v>28</v>
      </c>
      <c r="B60" s="696"/>
      <c r="C60" s="696"/>
      <c r="E60" s="696"/>
      <c r="G60" s="696"/>
    </row>
    <row r="61" spans="1:7" ht="15" customHeight="1" x14ac:dyDescent="0.3">
      <c r="A61" s="695" t="s">
        <v>29</v>
      </c>
      <c r="B61" s="697"/>
      <c r="C61" s="697"/>
      <c r="E61" s="697"/>
      <c r="G61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9" zoomScale="50" zoomScaleNormal="40" zoomScalePageLayoutView="50" workbookViewId="0">
      <selection activeCell="D109" sqref="D109"/>
    </sheetView>
  </sheetViews>
  <sheetFormatPr defaultColWidth="9.140625" defaultRowHeight="13.5" x14ac:dyDescent="0.25"/>
  <cols>
    <col min="1" max="1" width="55.42578125" style="656" customWidth="1"/>
    <col min="2" max="2" width="33.7109375" style="656" customWidth="1"/>
    <col min="3" max="3" width="42.28515625" style="656" customWidth="1"/>
    <col min="4" max="4" width="30.5703125" style="656" customWidth="1"/>
    <col min="5" max="5" width="39.85546875" style="656" customWidth="1"/>
    <col min="6" max="6" width="30.7109375" style="656" customWidth="1"/>
    <col min="7" max="7" width="39.85546875" style="656" customWidth="1"/>
    <col min="8" max="8" width="30" style="656" customWidth="1"/>
    <col min="9" max="9" width="30.28515625" style="656" hidden="1" customWidth="1"/>
    <col min="10" max="10" width="30.42578125" style="656" customWidth="1"/>
    <col min="11" max="11" width="21.28515625" style="656" customWidth="1"/>
    <col min="12" max="12" width="9.140625" style="656"/>
    <col min="13" max="16384" width="9.140625" style="692"/>
  </cols>
  <sheetData>
    <row r="1" spans="1:9" ht="18.75" customHeight="1" x14ac:dyDescent="0.25">
      <c r="A1" s="945" t="s">
        <v>44</v>
      </c>
      <c r="B1" s="945"/>
      <c r="C1" s="945"/>
      <c r="D1" s="945"/>
      <c r="E1" s="945"/>
      <c r="F1" s="945"/>
      <c r="G1" s="945"/>
      <c r="H1" s="945"/>
      <c r="I1" s="945"/>
    </row>
    <row r="2" spans="1:9" ht="18.75" customHeight="1" x14ac:dyDescent="0.25">
      <c r="A2" s="945"/>
      <c r="B2" s="945"/>
      <c r="C2" s="945"/>
      <c r="D2" s="945"/>
      <c r="E2" s="945"/>
      <c r="F2" s="945"/>
      <c r="G2" s="945"/>
      <c r="H2" s="945"/>
      <c r="I2" s="945"/>
    </row>
    <row r="3" spans="1:9" ht="18.75" customHeight="1" x14ac:dyDescent="0.25">
      <c r="A3" s="945"/>
      <c r="B3" s="945"/>
      <c r="C3" s="945"/>
      <c r="D3" s="945"/>
      <c r="E3" s="945"/>
      <c r="F3" s="945"/>
      <c r="G3" s="945"/>
      <c r="H3" s="945"/>
      <c r="I3" s="945"/>
    </row>
    <row r="4" spans="1:9" ht="18.75" customHeight="1" x14ac:dyDescent="0.25">
      <c r="A4" s="945"/>
      <c r="B4" s="945"/>
      <c r="C4" s="945"/>
      <c r="D4" s="945"/>
      <c r="E4" s="945"/>
      <c r="F4" s="945"/>
      <c r="G4" s="945"/>
      <c r="H4" s="945"/>
      <c r="I4" s="945"/>
    </row>
    <row r="5" spans="1:9" ht="18.75" customHeight="1" x14ac:dyDescent="0.25">
      <c r="A5" s="945"/>
      <c r="B5" s="945"/>
      <c r="C5" s="945"/>
      <c r="D5" s="945"/>
      <c r="E5" s="945"/>
      <c r="F5" s="945"/>
      <c r="G5" s="945"/>
      <c r="H5" s="945"/>
      <c r="I5" s="945"/>
    </row>
    <row r="6" spans="1:9" ht="18.75" customHeight="1" x14ac:dyDescent="0.25">
      <c r="A6" s="945"/>
      <c r="B6" s="945"/>
      <c r="C6" s="945"/>
      <c r="D6" s="945"/>
      <c r="E6" s="945"/>
      <c r="F6" s="945"/>
      <c r="G6" s="945"/>
      <c r="H6" s="945"/>
      <c r="I6" s="945"/>
    </row>
    <row r="7" spans="1:9" ht="18.75" customHeight="1" x14ac:dyDescent="0.25">
      <c r="A7" s="945"/>
      <c r="B7" s="945"/>
      <c r="C7" s="945"/>
      <c r="D7" s="945"/>
      <c r="E7" s="945"/>
      <c r="F7" s="945"/>
      <c r="G7" s="945"/>
      <c r="H7" s="945"/>
      <c r="I7" s="945"/>
    </row>
    <row r="8" spans="1:9" x14ac:dyDescent="0.25">
      <c r="A8" s="946" t="s">
        <v>45</v>
      </c>
      <c r="B8" s="946"/>
      <c r="C8" s="946"/>
      <c r="D8" s="946"/>
      <c r="E8" s="946"/>
      <c r="F8" s="946"/>
      <c r="G8" s="946"/>
      <c r="H8" s="946"/>
      <c r="I8" s="946"/>
    </row>
    <row r="9" spans="1:9" x14ac:dyDescent="0.25">
      <c r="A9" s="946"/>
      <c r="B9" s="946"/>
      <c r="C9" s="946"/>
      <c r="D9" s="946"/>
      <c r="E9" s="946"/>
      <c r="F9" s="946"/>
      <c r="G9" s="946"/>
      <c r="H9" s="946"/>
      <c r="I9" s="946"/>
    </row>
    <row r="10" spans="1:9" x14ac:dyDescent="0.25">
      <c r="A10" s="946"/>
      <c r="B10" s="946"/>
      <c r="C10" s="946"/>
      <c r="D10" s="946"/>
      <c r="E10" s="946"/>
      <c r="F10" s="946"/>
      <c r="G10" s="946"/>
      <c r="H10" s="946"/>
      <c r="I10" s="946"/>
    </row>
    <row r="11" spans="1:9" x14ac:dyDescent="0.25">
      <c r="A11" s="946"/>
      <c r="B11" s="946"/>
      <c r="C11" s="946"/>
      <c r="D11" s="946"/>
      <c r="E11" s="946"/>
      <c r="F11" s="946"/>
      <c r="G11" s="946"/>
      <c r="H11" s="946"/>
      <c r="I11" s="946"/>
    </row>
    <row r="12" spans="1:9" x14ac:dyDescent="0.25">
      <c r="A12" s="946"/>
      <c r="B12" s="946"/>
      <c r="C12" s="946"/>
      <c r="D12" s="946"/>
      <c r="E12" s="946"/>
      <c r="F12" s="946"/>
      <c r="G12" s="946"/>
      <c r="H12" s="946"/>
      <c r="I12" s="946"/>
    </row>
    <row r="13" spans="1:9" x14ac:dyDescent="0.25">
      <c r="A13" s="946"/>
      <c r="B13" s="946"/>
      <c r="C13" s="946"/>
      <c r="D13" s="946"/>
      <c r="E13" s="946"/>
      <c r="F13" s="946"/>
      <c r="G13" s="946"/>
      <c r="H13" s="946"/>
      <c r="I13" s="946"/>
    </row>
    <row r="14" spans="1:9" x14ac:dyDescent="0.25">
      <c r="A14" s="946"/>
      <c r="B14" s="946"/>
      <c r="C14" s="946"/>
      <c r="D14" s="946"/>
      <c r="E14" s="946"/>
      <c r="F14" s="946"/>
      <c r="G14" s="946"/>
      <c r="H14" s="946"/>
      <c r="I14" s="946"/>
    </row>
    <row r="15" spans="1:9" ht="19.5" customHeight="1" thickBot="1" x14ac:dyDescent="0.35">
      <c r="A15" s="699"/>
    </row>
    <row r="16" spans="1:9" ht="19.5" customHeight="1" thickBot="1" x14ac:dyDescent="0.35">
      <c r="A16" s="947" t="s">
        <v>30</v>
      </c>
      <c r="B16" s="948"/>
      <c r="C16" s="948"/>
      <c r="D16" s="948"/>
      <c r="E16" s="948"/>
      <c r="F16" s="948"/>
      <c r="G16" s="948"/>
      <c r="H16" s="949"/>
    </row>
    <row r="17" spans="1:14" ht="20.25" customHeight="1" x14ac:dyDescent="0.25">
      <c r="A17" s="950" t="s">
        <v>46</v>
      </c>
      <c r="B17" s="950"/>
      <c r="C17" s="950"/>
      <c r="D17" s="950"/>
      <c r="E17" s="950"/>
      <c r="F17" s="950"/>
      <c r="G17" s="950"/>
      <c r="H17" s="950"/>
    </row>
    <row r="18" spans="1:14" ht="26.25" customHeight="1" x14ac:dyDescent="0.4">
      <c r="A18" s="700" t="s">
        <v>32</v>
      </c>
      <c r="B18" s="943" t="s">
        <v>5</v>
      </c>
      <c r="C18" s="943"/>
      <c r="D18" s="701"/>
      <c r="E18" s="702"/>
      <c r="F18" s="703"/>
      <c r="G18" s="703"/>
      <c r="H18" s="703"/>
    </row>
    <row r="19" spans="1:14" ht="26.25" customHeight="1" x14ac:dyDescent="0.4">
      <c r="A19" s="700" t="s">
        <v>33</v>
      </c>
      <c r="B19" s="704" t="s">
        <v>141</v>
      </c>
      <c r="C19" s="703">
        <v>29</v>
      </c>
      <c r="D19" s="703"/>
      <c r="E19" s="703"/>
      <c r="F19" s="703"/>
      <c r="G19" s="703"/>
      <c r="H19" s="703"/>
    </row>
    <row r="20" spans="1:14" ht="26.25" customHeight="1" x14ac:dyDescent="0.4">
      <c r="A20" s="700" t="s">
        <v>34</v>
      </c>
      <c r="B20" s="942" t="s">
        <v>136</v>
      </c>
      <c r="C20" s="942"/>
      <c r="D20" s="703"/>
      <c r="E20" s="703"/>
      <c r="F20" s="703"/>
      <c r="G20" s="703"/>
      <c r="H20" s="703"/>
    </row>
    <row r="21" spans="1:14" ht="26.25" customHeight="1" x14ac:dyDescent="0.4">
      <c r="A21" s="700" t="s">
        <v>35</v>
      </c>
      <c r="B21" s="942" t="s">
        <v>142</v>
      </c>
      <c r="C21" s="942"/>
      <c r="D21" s="942"/>
      <c r="E21" s="942"/>
      <c r="F21" s="942"/>
      <c r="G21" s="942"/>
      <c r="H21" s="942"/>
      <c r="I21" s="705"/>
    </row>
    <row r="22" spans="1:14" ht="26.25" customHeight="1" x14ac:dyDescent="0.4">
      <c r="A22" s="700" t="s">
        <v>36</v>
      </c>
      <c r="B22" s="706" t="s">
        <v>11</v>
      </c>
      <c r="C22" s="703"/>
      <c r="D22" s="703"/>
      <c r="E22" s="703"/>
      <c r="F22" s="703"/>
      <c r="G22" s="703"/>
      <c r="H22" s="703"/>
    </row>
    <row r="23" spans="1:14" ht="26.25" customHeight="1" x14ac:dyDescent="0.4">
      <c r="A23" s="700" t="s">
        <v>37</v>
      </c>
      <c r="B23" s="706"/>
      <c r="C23" s="703"/>
      <c r="D23" s="703"/>
      <c r="E23" s="703"/>
      <c r="F23" s="703"/>
      <c r="G23" s="703"/>
      <c r="H23" s="703"/>
    </row>
    <row r="24" spans="1:14" ht="18.75" x14ac:dyDescent="0.3">
      <c r="A24" s="700"/>
      <c r="B24" s="707"/>
    </row>
    <row r="25" spans="1:14" ht="18.75" x14ac:dyDescent="0.3">
      <c r="A25" s="708" t="s">
        <v>1</v>
      </c>
      <c r="B25" s="707"/>
    </row>
    <row r="26" spans="1:14" ht="26.25" customHeight="1" x14ac:dyDescent="0.4">
      <c r="A26" s="709" t="s">
        <v>4</v>
      </c>
      <c r="B26" s="943" t="s">
        <v>127</v>
      </c>
      <c r="C26" s="943"/>
    </row>
    <row r="27" spans="1:14" ht="26.25" customHeight="1" x14ac:dyDescent="0.4">
      <c r="A27" s="710" t="s">
        <v>47</v>
      </c>
      <c r="B27" s="944" t="s">
        <v>143</v>
      </c>
      <c r="C27" s="944"/>
    </row>
    <row r="28" spans="1:14" ht="27" customHeight="1" thickBot="1" x14ac:dyDescent="0.45">
      <c r="A28" s="710" t="s">
        <v>6</v>
      </c>
      <c r="B28" s="711">
        <v>100</v>
      </c>
    </row>
    <row r="29" spans="1:14" s="666" customFormat="1" ht="27" customHeight="1" thickBot="1" x14ac:dyDescent="0.45">
      <c r="A29" s="710" t="s">
        <v>48</v>
      </c>
      <c r="B29" s="712">
        <v>0</v>
      </c>
      <c r="C29" s="922" t="s">
        <v>49</v>
      </c>
      <c r="D29" s="923"/>
      <c r="E29" s="923"/>
      <c r="F29" s="923"/>
      <c r="G29" s="924"/>
      <c r="I29" s="713"/>
      <c r="J29" s="713"/>
      <c r="K29" s="713"/>
      <c r="L29" s="713"/>
    </row>
    <row r="30" spans="1:14" s="666" customFormat="1" ht="19.5" customHeight="1" thickBot="1" x14ac:dyDescent="0.35">
      <c r="A30" s="710" t="s">
        <v>50</v>
      </c>
      <c r="B30" s="714">
        <f>B28-B29</f>
        <v>100</v>
      </c>
      <c r="C30" s="715"/>
      <c r="D30" s="715"/>
      <c r="E30" s="715"/>
      <c r="F30" s="715"/>
      <c r="G30" s="716"/>
      <c r="I30" s="713"/>
      <c r="J30" s="713"/>
      <c r="K30" s="713"/>
      <c r="L30" s="713"/>
    </row>
    <row r="31" spans="1:14" s="666" customFormat="1" ht="27" customHeight="1" thickBot="1" x14ac:dyDescent="0.45">
      <c r="A31" s="710" t="s">
        <v>51</v>
      </c>
      <c r="B31" s="717">
        <v>1</v>
      </c>
      <c r="C31" s="925" t="s">
        <v>52</v>
      </c>
      <c r="D31" s="926"/>
      <c r="E31" s="926"/>
      <c r="F31" s="926"/>
      <c r="G31" s="926"/>
      <c r="H31" s="927"/>
      <c r="I31" s="713"/>
      <c r="J31" s="713"/>
      <c r="K31" s="713"/>
      <c r="L31" s="713"/>
    </row>
    <row r="32" spans="1:14" s="666" customFormat="1" ht="27" customHeight="1" thickBot="1" x14ac:dyDescent="0.45">
      <c r="A32" s="710" t="s">
        <v>53</v>
      </c>
      <c r="B32" s="717">
        <v>1</v>
      </c>
      <c r="C32" s="925" t="s">
        <v>54</v>
      </c>
      <c r="D32" s="926"/>
      <c r="E32" s="926"/>
      <c r="F32" s="926"/>
      <c r="G32" s="926"/>
      <c r="H32" s="927"/>
      <c r="I32" s="713"/>
      <c r="J32" s="713"/>
      <c r="K32" s="713"/>
      <c r="L32" s="718"/>
      <c r="M32" s="718"/>
      <c r="N32" s="719"/>
    </row>
    <row r="33" spans="1:14" s="666" customFormat="1" ht="17.25" customHeight="1" x14ac:dyDescent="0.3">
      <c r="A33" s="710"/>
      <c r="B33" s="720"/>
      <c r="C33" s="721"/>
      <c r="D33" s="721"/>
      <c r="E33" s="721"/>
      <c r="F33" s="721"/>
      <c r="G33" s="721"/>
      <c r="H33" s="721"/>
      <c r="I33" s="713"/>
      <c r="J33" s="713"/>
      <c r="K33" s="713"/>
      <c r="L33" s="718"/>
      <c r="M33" s="718"/>
      <c r="N33" s="719"/>
    </row>
    <row r="34" spans="1:14" s="666" customFormat="1" ht="18.75" x14ac:dyDescent="0.3">
      <c r="A34" s="710" t="s">
        <v>55</v>
      </c>
      <c r="B34" s="722">
        <f>B31/B32</f>
        <v>1</v>
      </c>
      <c r="C34" s="699" t="s">
        <v>56</v>
      </c>
      <c r="D34" s="699"/>
      <c r="E34" s="699"/>
      <c r="F34" s="699"/>
      <c r="G34" s="699"/>
      <c r="I34" s="713"/>
      <c r="J34" s="713"/>
      <c r="K34" s="713"/>
      <c r="L34" s="718"/>
      <c r="M34" s="718"/>
      <c r="N34" s="719"/>
    </row>
    <row r="35" spans="1:14" s="666" customFormat="1" ht="19.5" customHeight="1" thickBot="1" x14ac:dyDescent="0.35">
      <c r="A35" s="710"/>
      <c r="B35" s="714"/>
      <c r="G35" s="699"/>
      <c r="I35" s="713"/>
      <c r="J35" s="713"/>
      <c r="K35" s="713"/>
      <c r="L35" s="718"/>
      <c r="M35" s="718"/>
      <c r="N35" s="719"/>
    </row>
    <row r="36" spans="1:14" s="666" customFormat="1" ht="27" customHeight="1" thickBot="1" x14ac:dyDescent="0.45">
      <c r="A36" s="723" t="s">
        <v>57</v>
      </c>
      <c r="B36" s="724">
        <v>100</v>
      </c>
      <c r="C36" s="699"/>
      <c r="D36" s="928" t="s">
        <v>58</v>
      </c>
      <c r="E36" s="941"/>
      <c r="F36" s="928" t="s">
        <v>59</v>
      </c>
      <c r="G36" s="929"/>
      <c r="J36" s="713"/>
      <c r="K36" s="713"/>
      <c r="L36" s="718"/>
      <c r="M36" s="718"/>
      <c r="N36" s="719"/>
    </row>
    <row r="37" spans="1:14" s="666" customFormat="1" ht="27" customHeight="1" thickBot="1" x14ac:dyDescent="0.45">
      <c r="A37" s="725" t="s">
        <v>60</v>
      </c>
      <c r="B37" s="726">
        <v>1</v>
      </c>
      <c r="C37" s="727" t="s">
        <v>61</v>
      </c>
      <c r="D37" s="728" t="s">
        <v>62</v>
      </c>
      <c r="E37" s="729" t="s">
        <v>63</v>
      </c>
      <c r="F37" s="728" t="s">
        <v>62</v>
      </c>
      <c r="G37" s="730" t="s">
        <v>63</v>
      </c>
      <c r="I37" s="731" t="s">
        <v>64</v>
      </c>
      <c r="J37" s="713"/>
      <c r="K37" s="713"/>
      <c r="L37" s="718"/>
      <c r="M37" s="718"/>
      <c r="N37" s="719"/>
    </row>
    <row r="38" spans="1:14" s="666" customFormat="1" ht="26.25" customHeight="1" x14ac:dyDescent="0.4">
      <c r="A38" s="725" t="s">
        <v>65</v>
      </c>
      <c r="B38" s="726">
        <v>1</v>
      </c>
      <c r="C38" s="732">
        <v>1</v>
      </c>
      <c r="D38" s="733">
        <v>3246653</v>
      </c>
      <c r="E38" s="734">
        <f>IF(ISBLANK(D38),"-",$D$48/$D$45*D38)</f>
        <v>2928430.2465423937</v>
      </c>
      <c r="F38" s="733">
        <v>2530413</v>
      </c>
      <c r="G38" s="735">
        <f>IF(ISBLANK(F38),"-",$D$48/$F$45*F38)</f>
        <v>2885305.5872291904</v>
      </c>
      <c r="I38" s="736"/>
      <c r="J38" s="713"/>
      <c r="K38" s="713"/>
      <c r="L38" s="718"/>
      <c r="M38" s="718"/>
      <c r="N38" s="719"/>
    </row>
    <row r="39" spans="1:14" s="666" customFormat="1" ht="26.25" customHeight="1" x14ac:dyDescent="0.4">
      <c r="A39" s="725" t="s">
        <v>66</v>
      </c>
      <c r="B39" s="726">
        <v>1</v>
      </c>
      <c r="C39" s="737">
        <v>2</v>
      </c>
      <c r="D39" s="738">
        <v>3243670</v>
      </c>
      <c r="E39" s="739">
        <f>IF(ISBLANK(D39),"-",$D$48/$D$45*D39)</f>
        <v>2925739.6271797959</v>
      </c>
      <c r="F39" s="738">
        <v>2527029</v>
      </c>
      <c r="G39" s="740">
        <f>IF(ISBLANK(F39),"-",$D$48/$F$45*F39)</f>
        <v>2881446.9783352339</v>
      </c>
      <c r="I39" s="912">
        <f>ABS((F43/D43*D42)-F42)/D42</f>
        <v>1.1824715094746604E-2</v>
      </c>
      <c r="J39" s="713"/>
      <c r="K39" s="713"/>
      <c r="L39" s="718"/>
      <c r="M39" s="718"/>
      <c r="N39" s="719"/>
    </row>
    <row r="40" spans="1:14" ht="26.25" customHeight="1" x14ac:dyDescent="0.4">
      <c r="A40" s="725" t="s">
        <v>67</v>
      </c>
      <c r="B40" s="726">
        <v>1</v>
      </c>
      <c r="C40" s="737">
        <v>3</v>
      </c>
      <c r="D40" s="738">
        <v>3239308</v>
      </c>
      <c r="E40" s="739">
        <f>IF(ISBLANK(D40),"-",$D$48/$D$45*D40)</f>
        <v>2921805.1713770297</v>
      </c>
      <c r="F40" s="738">
        <v>2524038</v>
      </c>
      <c r="G40" s="740">
        <f>IF(ISBLANK(F40),"-",$D$48/$F$45*F40)</f>
        <v>2878036.4880273659</v>
      </c>
      <c r="I40" s="912"/>
      <c r="L40" s="718"/>
      <c r="M40" s="718"/>
      <c r="N40" s="699"/>
    </row>
    <row r="41" spans="1:14" ht="27" customHeight="1" thickBot="1" x14ac:dyDescent="0.45">
      <c r="A41" s="725" t="s">
        <v>68</v>
      </c>
      <c r="B41" s="726">
        <v>1</v>
      </c>
      <c r="C41" s="741">
        <v>4</v>
      </c>
      <c r="D41" s="742"/>
      <c r="E41" s="743" t="str">
        <f>IF(ISBLANK(D41),"-",$D$48/$D$45*D41)</f>
        <v>-</v>
      </c>
      <c r="F41" s="742"/>
      <c r="G41" s="744" t="str">
        <f>IF(ISBLANK(F41),"-",$D$48/$F$45*F41)</f>
        <v>-</v>
      </c>
      <c r="I41" s="745"/>
      <c r="L41" s="718"/>
      <c r="M41" s="718"/>
      <c r="N41" s="699"/>
    </row>
    <row r="42" spans="1:14" ht="27" customHeight="1" thickBot="1" x14ac:dyDescent="0.45">
      <c r="A42" s="725" t="s">
        <v>69</v>
      </c>
      <c r="B42" s="726">
        <v>1</v>
      </c>
      <c r="C42" s="746" t="s">
        <v>70</v>
      </c>
      <c r="D42" s="747">
        <f>AVERAGE(D38:D41)</f>
        <v>3243210.3333333335</v>
      </c>
      <c r="E42" s="748">
        <f>AVERAGE(E38:E41)</f>
        <v>2925325.0150330733</v>
      </c>
      <c r="F42" s="747">
        <f>AVERAGE(F38:F41)</f>
        <v>2527160</v>
      </c>
      <c r="G42" s="749">
        <f>AVERAGE(G38:G41)</f>
        <v>2881596.3511972632</v>
      </c>
      <c r="H42" s="690"/>
    </row>
    <row r="43" spans="1:14" ht="26.25" customHeight="1" x14ac:dyDescent="0.4">
      <c r="A43" s="725" t="s">
        <v>71</v>
      </c>
      <c r="B43" s="726">
        <v>1</v>
      </c>
      <c r="C43" s="750" t="s">
        <v>72</v>
      </c>
      <c r="D43" s="751">
        <v>33.26</v>
      </c>
      <c r="E43" s="699"/>
      <c r="F43" s="751">
        <v>26.31</v>
      </c>
      <c r="H43" s="690"/>
    </row>
    <row r="44" spans="1:14" ht="26.25" customHeight="1" x14ac:dyDescent="0.4">
      <c r="A44" s="725" t="s">
        <v>73</v>
      </c>
      <c r="B44" s="726">
        <v>1</v>
      </c>
      <c r="C44" s="752" t="s">
        <v>74</v>
      </c>
      <c r="D44" s="753">
        <f>D43*$B$34</f>
        <v>33.26</v>
      </c>
      <c r="E44" s="754"/>
      <c r="F44" s="753">
        <f>F43*$B$34</f>
        <v>26.31</v>
      </c>
      <c r="H44" s="690"/>
    </row>
    <row r="45" spans="1:14" ht="19.5" customHeight="1" thickBot="1" x14ac:dyDescent="0.35">
      <c r="A45" s="725" t="s">
        <v>75</v>
      </c>
      <c r="B45" s="737">
        <f>(B44/B43)*(B42/B41)*(B40/B39)*(B38/B37)*B36</f>
        <v>100</v>
      </c>
      <c r="C45" s="752" t="s">
        <v>76</v>
      </c>
      <c r="D45" s="755">
        <f>D44*$B$30/100</f>
        <v>33.26</v>
      </c>
      <c r="E45" s="756"/>
      <c r="F45" s="755">
        <f>F44*$B$30/100</f>
        <v>26.31</v>
      </c>
      <c r="H45" s="690"/>
    </row>
    <row r="46" spans="1:14" ht="19.5" customHeight="1" thickBot="1" x14ac:dyDescent="0.35">
      <c r="A46" s="913" t="s">
        <v>77</v>
      </c>
      <c r="B46" s="917"/>
      <c r="C46" s="752" t="s">
        <v>78</v>
      </c>
      <c r="D46" s="757">
        <f>D45/$B$45</f>
        <v>0.33260000000000001</v>
      </c>
      <c r="E46" s="758"/>
      <c r="F46" s="759">
        <f>F45/$B$45</f>
        <v>0.2631</v>
      </c>
      <c r="H46" s="690"/>
    </row>
    <row r="47" spans="1:14" ht="27" customHeight="1" thickBot="1" x14ac:dyDescent="0.45">
      <c r="A47" s="915"/>
      <c r="B47" s="918"/>
      <c r="C47" s="760" t="s">
        <v>79</v>
      </c>
      <c r="D47" s="761">
        <v>0.3</v>
      </c>
      <c r="E47" s="762"/>
      <c r="F47" s="758"/>
      <c r="H47" s="690"/>
    </row>
    <row r="48" spans="1:14" ht="18.75" x14ac:dyDescent="0.3">
      <c r="C48" s="763" t="s">
        <v>80</v>
      </c>
      <c r="D48" s="755">
        <f>D47*$B$45</f>
        <v>30</v>
      </c>
      <c r="F48" s="764"/>
      <c r="H48" s="690"/>
    </row>
    <row r="49" spans="1:12" ht="19.5" customHeight="1" thickBot="1" x14ac:dyDescent="0.35">
      <c r="C49" s="765" t="s">
        <v>81</v>
      </c>
      <c r="D49" s="766">
        <f>D48/B34</f>
        <v>30</v>
      </c>
      <c r="F49" s="764"/>
      <c r="H49" s="690"/>
    </row>
    <row r="50" spans="1:12" ht="18.75" x14ac:dyDescent="0.3">
      <c r="C50" s="723" t="s">
        <v>82</v>
      </c>
      <c r="D50" s="767">
        <f>AVERAGE(E38:E41,G38:G41)</f>
        <v>2903460.683115168</v>
      </c>
      <c r="F50" s="768"/>
      <c r="H50" s="690"/>
    </row>
    <row r="51" spans="1:12" ht="18.75" x14ac:dyDescent="0.3">
      <c r="C51" s="725" t="s">
        <v>83</v>
      </c>
      <c r="D51" s="769">
        <f>STDEV(E38:E41,G38:G41)/D50</f>
        <v>8.3188563015657128E-3</v>
      </c>
      <c r="F51" s="768"/>
      <c r="H51" s="690"/>
    </row>
    <row r="52" spans="1:12" ht="19.5" customHeight="1" thickBot="1" x14ac:dyDescent="0.35">
      <c r="C52" s="770" t="s">
        <v>19</v>
      </c>
      <c r="D52" s="771">
        <f>COUNT(E38:E41,G38:G41)</f>
        <v>6</v>
      </c>
      <c r="F52" s="768"/>
    </row>
    <row r="54" spans="1:12" ht="18.75" x14ac:dyDescent="0.3">
      <c r="A54" s="772" t="s">
        <v>1</v>
      </c>
      <c r="B54" s="773" t="s">
        <v>84</v>
      </c>
    </row>
    <row r="55" spans="1:12" ht="18.75" x14ac:dyDescent="0.3">
      <c r="A55" s="699" t="s">
        <v>85</v>
      </c>
      <c r="B55" s="774" t="str">
        <f>B21</f>
        <v>ETHAMBUTOL HCl 275mg</v>
      </c>
    </row>
    <row r="56" spans="1:12" ht="26.25" customHeight="1" x14ac:dyDescent="0.4">
      <c r="A56" s="774" t="s">
        <v>86</v>
      </c>
      <c r="B56" s="775">
        <v>275</v>
      </c>
      <c r="C56" s="699" t="str">
        <f>B20</f>
        <v>ETHAMBUTOL HCl</v>
      </c>
      <c r="H56" s="754"/>
    </row>
    <row r="57" spans="1:12" ht="18.75" x14ac:dyDescent="0.3">
      <c r="A57" s="774" t="s">
        <v>87</v>
      </c>
      <c r="B57" s="776">
        <f>Uniformity!C46</f>
        <v>1261.9720000000002</v>
      </c>
      <c r="H57" s="754"/>
    </row>
    <row r="58" spans="1:12" ht="19.5" customHeight="1" thickBot="1" x14ac:dyDescent="0.35">
      <c r="H58" s="754"/>
    </row>
    <row r="59" spans="1:12" s="666" customFormat="1" ht="27" customHeight="1" thickBot="1" x14ac:dyDescent="0.45">
      <c r="A59" s="723" t="s">
        <v>88</v>
      </c>
      <c r="B59" s="724">
        <v>200</v>
      </c>
      <c r="C59" s="699"/>
      <c r="D59" s="777" t="s">
        <v>89</v>
      </c>
      <c r="E59" s="778" t="s">
        <v>61</v>
      </c>
      <c r="F59" s="778" t="s">
        <v>62</v>
      </c>
      <c r="G59" s="778" t="s">
        <v>90</v>
      </c>
      <c r="H59" s="727" t="s">
        <v>91</v>
      </c>
      <c r="L59" s="713"/>
    </row>
    <row r="60" spans="1:12" s="666" customFormat="1" ht="26.25" customHeight="1" x14ac:dyDescent="0.4">
      <c r="A60" s="725" t="s">
        <v>92</v>
      </c>
      <c r="B60" s="726">
        <v>4</v>
      </c>
      <c r="C60" s="930" t="s">
        <v>93</v>
      </c>
      <c r="D60" s="933">
        <v>1275.26</v>
      </c>
      <c r="E60" s="779">
        <v>1</v>
      </c>
      <c r="F60" s="780">
        <v>2814028</v>
      </c>
      <c r="G60" s="781">
        <f>IF(ISBLANK(F60),"-",(F60/$D$50*$D$47*$B$68)*($B$57/$D$60))</f>
        <v>287.72970538861341</v>
      </c>
      <c r="H60" s="782">
        <f t="shared" ref="H60:H71" si="0">IF(ISBLANK(F60),"-",G60/$B$56)</f>
        <v>1.046289837776776</v>
      </c>
      <c r="L60" s="713"/>
    </row>
    <row r="61" spans="1:12" s="666" customFormat="1" ht="26.25" customHeight="1" x14ac:dyDescent="0.4">
      <c r="A61" s="725" t="s">
        <v>94</v>
      </c>
      <c r="B61" s="726">
        <v>20</v>
      </c>
      <c r="C61" s="931"/>
      <c r="D61" s="934"/>
      <c r="E61" s="783">
        <v>2</v>
      </c>
      <c r="F61" s="738">
        <v>2799999</v>
      </c>
      <c r="G61" s="784">
        <f>IF(ISBLANK(F61),"-",(F61/$D$50*$D$47*$B$68)*($B$57/$D$60))</f>
        <v>286.29526335857787</v>
      </c>
      <c r="H61" s="785">
        <f t="shared" si="0"/>
        <v>1.0410736849402831</v>
      </c>
      <c r="L61" s="713"/>
    </row>
    <row r="62" spans="1:12" s="666" customFormat="1" ht="26.25" customHeight="1" x14ac:dyDescent="0.4">
      <c r="A62" s="725" t="s">
        <v>95</v>
      </c>
      <c r="B62" s="726">
        <v>1</v>
      </c>
      <c r="C62" s="931"/>
      <c r="D62" s="934"/>
      <c r="E62" s="783">
        <v>3</v>
      </c>
      <c r="F62" s="786">
        <v>2789604</v>
      </c>
      <c r="G62" s="784">
        <f>IF(ISBLANK(F62),"-",(F62/$D$50*$D$47*$B$68)*($B$57/$D$60))</f>
        <v>285.23239181376215</v>
      </c>
      <c r="H62" s="785">
        <f t="shared" si="0"/>
        <v>1.0372086975045895</v>
      </c>
      <c r="L62" s="713"/>
    </row>
    <row r="63" spans="1:12" ht="27" customHeight="1" thickBot="1" x14ac:dyDescent="0.45">
      <c r="A63" s="725" t="s">
        <v>96</v>
      </c>
      <c r="B63" s="726">
        <v>1</v>
      </c>
      <c r="C63" s="932"/>
      <c r="D63" s="935"/>
      <c r="E63" s="787">
        <v>4</v>
      </c>
      <c r="F63" s="788"/>
      <c r="G63" s="784" t="str">
        <f>IF(ISBLANK(F63),"-",(F63/$D$50*$D$47*$B$68)*($B$57/$D$60))</f>
        <v>-</v>
      </c>
      <c r="H63" s="785" t="str">
        <f t="shared" si="0"/>
        <v>-</v>
      </c>
    </row>
    <row r="64" spans="1:12" ht="26.25" customHeight="1" x14ac:dyDescent="0.4">
      <c r="A64" s="725" t="s">
        <v>97</v>
      </c>
      <c r="B64" s="726">
        <v>1</v>
      </c>
      <c r="C64" s="930" t="s">
        <v>98</v>
      </c>
      <c r="D64" s="933">
        <v>1262.27</v>
      </c>
      <c r="E64" s="779">
        <v>1</v>
      </c>
      <c r="F64" s="780">
        <v>2810559</v>
      </c>
      <c r="G64" s="789">
        <f>IF(ISBLANK(F64),"-",(F64/$D$50*$D$47*$B$68)*($B$57/$D$64))</f>
        <v>290.33237738273544</v>
      </c>
      <c r="H64" s="790">
        <f t="shared" si="0"/>
        <v>1.0557540995735835</v>
      </c>
    </row>
    <row r="65" spans="1:8" ht="26.25" customHeight="1" x14ac:dyDescent="0.4">
      <c r="A65" s="725" t="s">
        <v>99</v>
      </c>
      <c r="B65" s="726">
        <v>1</v>
      </c>
      <c r="C65" s="931"/>
      <c r="D65" s="934"/>
      <c r="E65" s="783">
        <v>2</v>
      </c>
      <c r="F65" s="738">
        <v>2801638</v>
      </c>
      <c r="G65" s="791">
        <f>IF(ISBLANK(F65),"-",(F65/$D$50*$D$47*$B$68)*($B$57/$D$64))</f>
        <v>289.41083290043446</v>
      </c>
      <c r="H65" s="792">
        <f t="shared" si="0"/>
        <v>1.0524030287288526</v>
      </c>
    </row>
    <row r="66" spans="1:8" ht="26.25" customHeight="1" x14ac:dyDescent="0.4">
      <c r="A66" s="725" t="s">
        <v>100</v>
      </c>
      <c r="B66" s="726">
        <v>1</v>
      </c>
      <c r="C66" s="931"/>
      <c r="D66" s="934"/>
      <c r="E66" s="783">
        <v>3</v>
      </c>
      <c r="F66" s="738">
        <v>2789686</v>
      </c>
      <c r="G66" s="791">
        <f>IF(ISBLANK(F66),"-",(F66/$D$50*$D$47*$B$68)*($B$57/$D$64))</f>
        <v>288.17618435739428</v>
      </c>
      <c r="H66" s="792">
        <f t="shared" si="0"/>
        <v>1.047913397663252</v>
      </c>
    </row>
    <row r="67" spans="1:8" ht="27" customHeight="1" thickBot="1" x14ac:dyDescent="0.45">
      <c r="A67" s="725" t="s">
        <v>101</v>
      </c>
      <c r="B67" s="726">
        <v>1</v>
      </c>
      <c r="C67" s="932"/>
      <c r="D67" s="935"/>
      <c r="E67" s="787">
        <v>4</v>
      </c>
      <c r="F67" s="788"/>
      <c r="G67" s="793" t="str">
        <f>IF(ISBLANK(F67),"-",(F67/$D$50*$D$47*$B$68)*($B$57/$D$64))</f>
        <v>-</v>
      </c>
      <c r="H67" s="794" t="str">
        <f t="shared" si="0"/>
        <v>-</v>
      </c>
    </row>
    <row r="68" spans="1:8" ht="26.25" customHeight="1" x14ac:dyDescent="0.4">
      <c r="A68" s="725" t="s">
        <v>102</v>
      </c>
      <c r="B68" s="795">
        <f>(B67/B66)*(B65/B64)*(B63/B62)*(B61/B60)*B59</f>
        <v>1000</v>
      </c>
      <c r="C68" s="930" t="s">
        <v>103</v>
      </c>
      <c r="D68" s="933">
        <v>1247.8900000000001</v>
      </c>
      <c r="E68" s="779">
        <v>1</v>
      </c>
      <c r="F68" s="780">
        <v>2721042</v>
      </c>
      <c r="G68" s="789">
        <f>IF(ISBLANK(F68),"-",(F68/$D$50*$D$47*$B$68)*($B$57/$D$68))</f>
        <v>284.32429119739334</v>
      </c>
      <c r="H68" s="785">
        <f t="shared" si="0"/>
        <v>1.0339065134450667</v>
      </c>
    </row>
    <row r="69" spans="1:8" ht="27" customHeight="1" thickBot="1" x14ac:dyDescent="0.45">
      <c r="A69" s="770" t="s">
        <v>104</v>
      </c>
      <c r="B69" s="796">
        <f>(D47*B68)/B56*B57</f>
        <v>1376.6967272727275</v>
      </c>
      <c r="C69" s="931"/>
      <c r="D69" s="934"/>
      <c r="E69" s="783">
        <v>2</v>
      </c>
      <c r="F69" s="738">
        <v>2686781</v>
      </c>
      <c r="G69" s="791">
        <f>IF(ISBLANK(F69),"-",(F69/$D$50*$D$47*$B$68)*($B$57/$D$68))</f>
        <v>280.74432641158194</v>
      </c>
      <c r="H69" s="785">
        <f t="shared" si="0"/>
        <v>1.0208884596784797</v>
      </c>
    </row>
    <row r="70" spans="1:8" ht="26.25" customHeight="1" x14ac:dyDescent="0.4">
      <c r="A70" s="937" t="s">
        <v>77</v>
      </c>
      <c r="B70" s="938"/>
      <c r="C70" s="931"/>
      <c r="D70" s="934"/>
      <c r="E70" s="783">
        <v>3</v>
      </c>
      <c r="F70" s="738">
        <v>2680792</v>
      </c>
      <c r="G70" s="791">
        <f>IF(ISBLANK(F70),"-",(F70/$D$50*$D$47*$B$68)*($B$57/$D$68))</f>
        <v>280.11853005122396</v>
      </c>
      <c r="H70" s="785">
        <f t="shared" si="0"/>
        <v>1.0186128365499052</v>
      </c>
    </row>
    <row r="71" spans="1:8" ht="27" customHeight="1" thickBot="1" x14ac:dyDescent="0.45">
      <c r="A71" s="939"/>
      <c r="B71" s="940"/>
      <c r="C71" s="936"/>
      <c r="D71" s="935"/>
      <c r="E71" s="787">
        <v>4</v>
      </c>
      <c r="F71" s="788"/>
      <c r="G71" s="793" t="str">
        <f>IF(ISBLANK(F71),"-",(F71/$D$50*$D$47*$B$68)*($B$57/$D$68))</f>
        <v>-</v>
      </c>
      <c r="H71" s="797" t="str">
        <f t="shared" si="0"/>
        <v>-</v>
      </c>
    </row>
    <row r="72" spans="1:8" ht="26.25" customHeight="1" x14ac:dyDescent="0.4">
      <c r="A72" s="754"/>
      <c r="B72" s="754"/>
      <c r="C72" s="754"/>
      <c r="D72" s="754"/>
      <c r="E72" s="754"/>
      <c r="F72" s="798" t="s">
        <v>70</v>
      </c>
      <c r="G72" s="799">
        <f>AVERAGE(G60:G71)</f>
        <v>285.81821142907961</v>
      </c>
      <c r="H72" s="800">
        <f>AVERAGE(H60:H71)</f>
        <v>1.0393389506511987</v>
      </c>
    </row>
    <row r="73" spans="1:8" ht="26.25" customHeight="1" x14ac:dyDescent="0.4">
      <c r="C73" s="754"/>
      <c r="D73" s="754"/>
      <c r="E73" s="754"/>
      <c r="F73" s="801" t="s">
        <v>83</v>
      </c>
      <c r="G73" s="802">
        <f>STDEV(G60:G71)/G72</f>
        <v>1.2586407711086494E-2</v>
      </c>
      <c r="H73" s="802">
        <f>STDEV(H60:H71)/H72</f>
        <v>1.2586407711086524E-2</v>
      </c>
    </row>
    <row r="74" spans="1:8" ht="27" customHeight="1" thickBot="1" x14ac:dyDescent="0.45">
      <c r="A74" s="754"/>
      <c r="B74" s="754"/>
      <c r="C74" s="754"/>
      <c r="D74" s="754"/>
      <c r="E74" s="756"/>
      <c r="F74" s="803" t="s">
        <v>19</v>
      </c>
      <c r="G74" s="804">
        <f>COUNT(G60:G71)</f>
        <v>9</v>
      </c>
      <c r="H74" s="804">
        <f>COUNT(H60:H71)</f>
        <v>9</v>
      </c>
    </row>
    <row r="76" spans="1:8" ht="26.25" customHeight="1" x14ac:dyDescent="0.4">
      <c r="A76" s="709" t="s">
        <v>105</v>
      </c>
      <c r="B76" s="710" t="s">
        <v>106</v>
      </c>
      <c r="C76" s="919" t="str">
        <f>B20</f>
        <v>ETHAMBUTOL HCl</v>
      </c>
      <c r="D76" s="919"/>
      <c r="E76" s="699" t="s">
        <v>107</v>
      </c>
      <c r="F76" s="699"/>
      <c r="G76" s="805">
        <f>H72</f>
        <v>1.0393389506511987</v>
      </c>
      <c r="H76" s="714"/>
    </row>
    <row r="77" spans="1:8" ht="18.75" x14ac:dyDescent="0.3">
      <c r="A77" s="708" t="s">
        <v>108</v>
      </c>
      <c r="B77" s="708" t="s">
        <v>109</v>
      </c>
    </row>
    <row r="78" spans="1:8" ht="18.75" x14ac:dyDescent="0.3">
      <c r="A78" s="708"/>
      <c r="B78" s="708"/>
    </row>
    <row r="79" spans="1:8" ht="26.25" customHeight="1" x14ac:dyDescent="0.4">
      <c r="A79" s="709" t="s">
        <v>4</v>
      </c>
      <c r="B79" s="921" t="str">
        <f>B26</f>
        <v>ETHAMBUTOL HYDROCHLORIDE</v>
      </c>
      <c r="C79" s="921"/>
    </row>
    <row r="80" spans="1:8" ht="26.25" customHeight="1" x14ac:dyDescent="0.4">
      <c r="A80" s="710" t="s">
        <v>47</v>
      </c>
      <c r="B80" s="921" t="str">
        <f>B27</f>
        <v>E12 3</v>
      </c>
      <c r="C80" s="921"/>
    </row>
    <row r="81" spans="1:12" ht="27" customHeight="1" thickBot="1" x14ac:dyDescent="0.45">
      <c r="A81" s="710" t="s">
        <v>6</v>
      </c>
      <c r="B81" s="711">
        <f>B28</f>
        <v>100</v>
      </c>
    </row>
    <row r="82" spans="1:12" s="666" customFormat="1" ht="27" customHeight="1" thickBot="1" x14ac:dyDescent="0.45">
      <c r="A82" s="710" t="s">
        <v>48</v>
      </c>
      <c r="B82" s="712">
        <v>0</v>
      </c>
      <c r="C82" s="922" t="s">
        <v>49</v>
      </c>
      <c r="D82" s="923"/>
      <c r="E82" s="923"/>
      <c r="F82" s="923"/>
      <c r="G82" s="924"/>
      <c r="I82" s="713"/>
      <c r="J82" s="713"/>
      <c r="K82" s="713"/>
      <c r="L82" s="713"/>
    </row>
    <row r="83" spans="1:12" s="666" customFormat="1" ht="19.5" customHeight="1" thickBot="1" x14ac:dyDescent="0.35">
      <c r="A83" s="710" t="s">
        <v>50</v>
      </c>
      <c r="B83" s="714">
        <f>B81-B82</f>
        <v>100</v>
      </c>
      <c r="C83" s="715"/>
      <c r="D83" s="715"/>
      <c r="E83" s="715"/>
      <c r="F83" s="715"/>
      <c r="G83" s="716"/>
      <c r="I83" s="713"/>
      <c r="J83" s="713"/>
      <c r="K83" s="713"/>
      <c r="L83" s="713"/>
    </row>
    <row r="84" spans="1:12" s="666" customFormat="1" ht="27" customHeight="1" thickBot="1" x14ac:dyDescent="0.45">
      <c r="A84" s="710" t="s">
        <v>51</v>
      </c>
      <c r="B84" s="717">
        <v>1</v>
      </c>
      <c r="C84" s="925" t="s">
        <v>110</v>
      </c>
      <c r="D84" s="926"/>
      <c r="E84" s="926"/>
      <c r="F84" s="926"/>
      <c r="G84" s="926"/>
      <c r="H84" s="927"/>
      <c r="I84" s="713"/>
      <c r="J84" s="713"/>
      <c r="K84" s="713"/>
      <c r="L84" s="713"/>
    </row>
    <row r="85" spans="1:12" s="666" customFormat="1" ht="27" customHeight="1" thickBot="1" x14ac:dyDescent="0.45">
      <c r="A85" s="710" t="s">
        <v>53</v>
      </c>
      <c r="B85" s="717">
        <v>1</v>
      </c>
      <c r="C85" s="925" t="s">
        <v>111</v>
      </c>
      <c r="D85" s="926"/>
      <c r="E85" s="926"/>
      <c r="F85" s="926"/>
      <c r="G85" s="926"/>
      <c r="H85" s="927"/>
      <c r="I85" s="713"/>
      <c r="J85" s="713"/>
      <c r="K85" s="713"/>
      <c r="L85" s="713"/>
    </row>
    <row r="86" spans="1:12" s="666" customFormat="1" ht="18.75" x14ac:dyDescent="0.3">
      <c r="A86" s="710"/>
      <c r="B86" s="720"/>
      <c r="C86" s="721"/>
      <c r="D86" s="721"/>
      <c r="E86" s="721"/>
      <c r="F86" s="721"/>
      <c r="G86" s="721"/>
      <c r="H86" s="721"/>
      <c r="I86" s="713"/>
      <c r="J86" s="713"/>
      <c r="K86" s="713"/>
      <c r="L86" s="713"/>
    </row>
    <row r="87" spans="1:12" s="666" customFormat="1" ht="18.75" x14ac:dyDescent="0.3">
      <c r="A87" s="710" t="s">
        <v>55</v>
      </c>
      <c r="B87" s="722">
        <f>B84/B85</f>
        <v>1</v>
      </c>
      <c r="C87" s="699" t="s">
        <v>56</v>
      </c>
      <c r="D87" s="699"/>
      <c r="E87" s="699"/>
      <c r="F87" s="699"/>
      <c r="G87" s="699"/>
      <c r="I87" s="713"/>
      <c r="J87" s="713"/>
      <c r="K87" s="713"/>
      <c r="L87" s="713"/>
    </row>
    <row r="88" spans="1:12" ht="19.5" customHeight="1" thickBot="1" x14ac:dyDescent="0.35">
      <c r="A88" s="708"/>
      <c r="B88" s="708"/>
    </row>
    <row r="89" spans="1:12" ht="27" customHeight="1" thickBot="1" x14ac:dyDescent="0.45">
      <c r="A89" s="723" t="s">
        <v>57</v>
      </c>
      <c r="B89" s="724">
        <v>100</v>
      </c>
      <c r="D89" s="806" t="s">
        <v>58</v>
      </c>
      <c r="E89" s="807"/>
      <c r="F89" s="928" t="s">
        <v>59</v>
      </c>
      <c r="G89" s="929"/>
    </row>
    <row r="90" spans="1:12" ht="27" customHeight="1" thickBot="1" x14ac:dyDescent="0.45">
      <c r="A90" s="725" t="s">
        <v>60</v>
      </c>
      <c r="B90" s="726">
        <v>1</v>
      </c>
      <c r="C90" s="808" t="s">
        <v>61</v>
      </c>
      <c r="D90" s="728" t="s">
        <v>62</v>
      </c>
      <c r="E90" s="729" t="s">
        <v>63</v>
      </c>
      <c r="F90" s="728" t="s">
        <v>62</v>
      </c>
      <c r="G90" s="809" t="s">
        <v>63</v>
      </c>
      <c r="I90" s="731" t="s">
        <v>64</v>
      </c>
    </row>
    <row r="91" spans="1:12" ht="26.25" customHeight="1" x14ac:dyDescent="0.4">
      <c r="A91" s="725" t="s">
        <v>65</v>
      </c>
      <c r="B91" s="726">
        <v>1</v>
      </c>
      <c r="C91" s="810">
        <v>1</v>
      </c>
      <c r="D91" s="733">
        <v>3246653</v>
      </c>
      <c r="E91" s="734">
        <f>IF(ISBLANK(D91),"-",$D$101/$D$98*D91)</f>
        <v>2982660.4362931787</v>
      </c>
      <c r="F91" s="733">
        <v>2530413</v>
      </c>
      <c r="G91" s="735">
        <f>IF(ISBLANK(F91),"-",$D$101/$F$98*F91)</f>
        <v>2938737.1721778796</v>
      </c>
      <c r="I91" s="736"/>
    </row>
    <row r="92" spans="1:12" ht="26.25" customHeight="1" x14ac:dyDescent="0.4">
      <c r="A92" s="725" t="s">
        <v>66</v>
      </c>
      <c r="B92" s="726">
        <v>1</v>
      </c>
      <c r="C92" s="754">
        <v>2</v>
      </c>
      <c r="D92" s="738">
        <v>3243670</v>
      </c>
      <c r="E92" s="739">
        <f>IF(ISBLANK(D92),"-",$D$101/$D$98*D92)</f>
        <v>2979919.9906460885</v>
      </c>
      <c r="F92" s="738">
        <v>2527029</v>
      </c>
      <c r="G92" s="740">
        <f>IF(ISBLANK(F92),"-",$D$101/$F$98*F92)</f>
        <v>2934807.1075636647</v>
      </c>
      <c r="I92" s="912">
        <f>ABS((F96/D96*D95)-F95)/D95</f>
        <v>1.1824715094746604E-2</v>
      </c>
    </row>
    <row r="93" spans="1:12" ht="26.25" customHeight="1" x14ac:dyDescent="0.4">
      <c r="A93" s="725" t="s">
        <v>67</v>
      </c>
      <c r="B93" s="726">
        <v>1</v>
      </c>
      <c r="C93" s="754">
        <v>3</v>
      </c>
      <c r="D93" s="738">
        <v>3239308</v>
      </c>
      <c r="E93" s="739">
        <f>IF(ISBLANK(D93),"-",$D$101/$D$98*D93)</f>
        <v>2975912.6745506786</v>
      </c>
      <c r="F93" s="738">
        <v>2524038</v>
      </c>
      <c r="G93" s="740">
        <f>IF(ISBLANK(F93),"-",$D$101/$F$98*F93)</f>
        <v>2931333.4600278735</v>
      </c>
      <c r="I93" s="912"/>
    </row>
    <row r="94" spans="1:12" ht="27" customHeight="1" thickBot="1" x14ac:dyDescent="0.45">
      <c r="A94" s="725" t="s">
        <v>68</v>
      </c>
      <c r="B94" s="726">
        <v>1</v>
      </c>
      <c r="C94" s="811">
        <v>4</v>
      </c>
      <c r="D94" s="742"/>
      <c r="E94" s="743" t="str">
        <f>IF(ISBLANK(D94),"-",$D$101/$D$98*D94)</f>
        <v>-</v>
      </c>
      <c r="F94" s="742"/>
      <c r="G94" s="744" t="str">
        <f>IF(ISBLANK(F94),"-",$D$101/$F$98*F94)</f>
        <v>-</v>
      </c>
      <c r="I94" s="745"/>
    </row>
    <row r="95" spans="1:12" ht="27" customHeight="1" thickBot="1" x14ac:dyDescent="0.45">
      <c r="A95" s="725" t="s">
        <v>69</v>
      </c>
      <c r="B95" s="726">
        <v>1</v>
      </c>
      <c r="C95" s="710" t="s">
        <v>70</v>
      </c>
      <c r="D95" s="812">
        <f>AVERAGE(D91:D94)</f>
        <v>3243210.3333333335</v>
      </c>
      <c r="E95" s="748">
        <f>AVERAGE(E91:E94)</f>
        <v>2979497.7004966489</v>
      </c>
      <c r="F95" s="813">
        <f>AVERAGE(F91:F94)</f>
        <v>2527160</v>
      </c>
      <c r="G95" s="814">
        <f>AVERAGE(G91:G94)</f>
        <v>2934959.2465898059</v>
      </c>
    </row>
    <row r="96" spans="1:12" ht="26.25" customHeight="1" x14ac:dyDescent="0.4">
      <c r="A96" s="725" t="s">
        <v>71</v>
      </c>
      <c r="B96" s="711">
        <v>1</v>
      </c>
      <c r="C96" s="815" t="s">
        <v>112</v>
      </c>
      <c r="D96" s="816">
        <f>D43</f>
        <v>33.26</v>
      </c>
      <c r="E96" s="699"/>
      <c r="F96" s="751">
        <f>F43</f>
        <v>26.31</v>
      </c>
    </row>
    <row r="97" spans="1:10" ht="26.25" customHeight="1" x14ac:dyDescent="0.4">
      <c r="A97" s="725" t="s">
        <v>73</v>
      </c>
      <c r="B97" s="711">
        <v>1</v>
      </c>
      <c r="C97" s="817" t="s">
        <v>113</v>
      </c>
      <c r="D97" s="818">
        <f>D96*$B$87</f>
        <v>33.26</v>
      </c>
      <c r="E97" s="754"/>
      <c r="F97" s="753">
        <f>F96*$B$87</f>
        <v>26.31</v>
      </c>
    </row>
    <row r="98" spans="1:10" ht="19.5" customHeight="1" thickBot="1" x14ac:dyDescent="0.35">
      <c r="A98" s="725" t="s">
        <v>75</v>
      </c>
      <c r="B98" s="754">
        <f>(B97/B96)*(B95/B94)*(B93/B92)*(B91/B90)*B89</f>
        <v>100</v>
      </c>
      <c r="C98" s="817" t="s">
        <v>114</v>
      </c>
      <c r="D98" s="819">
        <f>D97*$B$83/100</f>
        <v>33.26</v>
      </c>
      <c r="E98" s="756"/>
      <c r="F98" s="755">
        <f>F97*$B$83/100</f>
        <v>26.31</v>
      </c>
    </row>
    <row r="99" spans="1:10" ht="19.5" customHeight="1" thickBot="1" x14ac:dyDescent="0.35">
      <c r="A99" s="913" t="s">
        <v>77</v>
      </c>
      <c r="B99" s="914"/>
      <c r="C99" s="817" t="s">
        <v>115</v>
      </c>
      <c r="D99" s="820">
        <f>D98/$B$98</f>
        <v>0.33260000000000001</v>
      </c>
      <c r="E99" s="756"/>
      <c r="F99" s="759">
        <f>F98/$B$98</f>
        <v>0.2631</v>
      </c>
      <c r="H99" s="690"/>
    </row>
    <row r="100" spans="1:10" ht="19.5" customHeight="1" thickBot="1" x14ac:dyDescent="0.35">
      <c r="A100" s="915"/>
      <c r="B100" s="916"/>
      <c r="C100" s="817" t="s">
        <v>79</v>
      </c>
      <c r="D100" s="821">
        <f>$B$56/$B$116</f>
        <v>0.30555555555555558</v>
      </c>
      <c r="F100" s="764"/>
      <c r="G100" s="822"/>
      <c r="H100" s="690"/>
    </row>
    <row r="101" spans="1:10" ht="18.75" x14ac:dyDescent="0.3">
      <c r="C101" s="817" t="s">
        <v>80</v>
      </c>
      <c r="D101" s="818">
        <f>D100*$B$98</f>
        <v>30.555555555555557</v>
      </c>
      <c r="F101" s="764"/>
      <c r="H101" s="690"/>
    </row>
    <row r="102" spans="1:10" ht="19.5" customHeight="1" thickBot="1" x14ac:dyDescent="0.35">
      <c r="C102" s="823" t="s">
        <v>81</v>
      </c>
      <c r="D102" s="824">
        <f>D101/B34</f>
        <v>30.555555555555557</v>
      </c>
      <c r="F102" s="768"/>
      <c r="H102" s="690"/>
      <c r="J102" s="825"/>
    </row>
    <row r="103" spans="1:10" ht="18.75" x14ac:dyDescent="0.3">
      <c r="C103" s="826" t="s">
        <v>116</v>
      </c>
      <c r="D103" s="827">
        <f>AVERAGE(E91:E94,G91:G94)</f>
        <v>2957228.4735432272</v>
      </c>
      <c r="F103" s="768"/>
      <c r="G103" s="822"/>
      <c r="H103" s="690"/>
      <c r="J103" s="828"/>
    </row>
    <row r="104" spans="1:10" ht="18.75" x14ac:dyDescent="0.3">
      <c r="C104" s="801" t="s">
        <v>83</v>
      </c>
      <c r="D104" s="829">
        <f>STDEV(E91:E94,G91:G94)/D103</f>
        <v>8.3188563015656001E-3</v>
      </c>
      <c r="F104" s="768"/>
      <c r="H104" s="690"/>
      <c r="J104" s="828"/>
    </row>
    <row r="105" spans="1:10" ht="19.5" customHeight="1" thickBot="1" x14ac:dyDescent="0.35">
      <c r="C105" s="803" t="s">
        <v>19</v>
      </c>
      <c r="D105" s="830">
        <f>COUNT(E91:E94,G91:G94)</f>
        <v>6</v>
      </c>
      <c r="F105" s="768"/>
      <c r="H105" s="690"/>
      <c r="J105" s="828"/>
    </row>
    <row r="106" spans="1:10" ht="19.5" customHeight="1" thickBot="1" x14ac:dyDescent="0.35">
      <c r="A106" s="772"/>
      <c r="B106" s="772"/>
      <c r="C106" s="772"/>
      <c r="D106" s="772"/>
      <c r="E106" s="772"/>
    </row>
    <row r="107" spans="1:10" ht="26.25" customHeight="1" x14ac:dyDescent="0.4">
      <c r="A107" s="723" t="s">
        <v>117</v>
      </c>
      <c r="B107" s="724">
        <v>900</v>
      </c>
      <c r="C107" s="806" t="s">
        <v>118</v>
      </c>
      <c r="D107" s="831" t="s">
        <v>62</v>
      </c>
      <c r="E107" s="832" t="s">
        <v>119</v>
      </c>
      <c r="F107" s="833" t="s">
        <v>120</v>
      </c>
    </row>
    <row r="108" spans="1:10" ht="26.25" customHeight="1" x14ac:dyDescent="0.4">
      <c r="A108" s="725" t="s">
        <v>121</v>
      </c>
      <c r="B108" s="726">
        <v>1</v>
      </c>
      <c r="C108" s="834">
        <v>1</v>
      </c>
      <c r="D108" s="835">
        <v>2794227</v>
      </c>
      <c r="E108" s="836">
        <f t="shared" ref="E108:E113" si="1">IF(ISBLANK(D108),"-",D108/$D$103*$D$100*$B$116)</f>
        <v>259.84208926519653</v>
      </c>
      <c r="F108" s="837">
        <f t="shared" ref="F108:F113" si="2">IF(ISBLANK(D108), "-", E108/$B$56)</f>
        <v>0.94488032460071469</v>
      </c>
    </row>
    <row r="109" spans="1:10" ht="26.25" customHeight="1" x14ac:dyDescent="0.4">
      <c r="A109" s="725" t="s">
        <v>94</v>
      </c>
      <c r="B109" s="726">
        <v>1</v>
      </c>
      <c r="C109" s="834">
        <v>2</v>
      </c>
      <c r="D109" s="835">
        <v>2796173</v>
      </c>
      <c r="E109" s="838">
        <f t="shared" si="1"/>
        <v>260.02305262490569</v>
      </c>
      <c r="F109" s="839">
        <f t="shared" si="2"/>
        <v>0.94553837318147527</v>
      </c>
    </row>
    <row r="110" spans="1:10" ht="26.25" customHeight="1" x14ac:dyDescent="0.4">
      <c r="A110" s="725" t="s">
        <v>95</v>
      </c>
      <c r="B110" s="726">
        <v>1</v>
      </c>
      <c r="C110" s="834">
        <v>3</v>
      </c>
      <c r="D110" s="835">
        <v>2799516</v>
      </c>
      <c r="E110" s="838">
        <f t="shared" si="1"/>
        <v>260.33392647460136</v>
      </c>
      <c r="F110" s="839">
        <f t="shared" si="2"/>
        <v>0.94666882354400494</v>
      </c>
    </row>
    <row r="111" spans="1:10" ht="26.25" customHeight="1" x14ac:dyDescent="0.4">
      <c r="A111" s="725" t="s">
        <v>96</v>
      </c>
      <c r="B111" s="726">
        <v>1</v>
      </c>
      <c r="C111" s="834">
        <v>4</v>
      </c>
      <c r="D111" s="835">
        <v>2796723</v>
      </c>
      <c r="E111" s="838">
        <f t="shared" si="1"/>
        <v>260.07419848710504</v>
      </c>
      <c r="F111" s="839">
        <f t="shared" si="2"/>
        <v>0.94572435813492739</v>
      </c>
    </row>
    <row r="112" spans="1:10" ht="26.25" customHeight="1" x14ac:dyDescent="0.4">
      <c r="A112" s="725" t="s">
        <v>97</v>
      </c>
      <c r="B112" s="726">
        <v>1</v>
      </c>
      <c r="C112" s="834">
        <v>5</v>
      </c>
      <c r="D112" s="835">
        <v>2797168</v>
      </c>
      <c r="E112" s="838">
        <f t="shared" si="1"/>
        <v>260.11558013924821</v>
      </c>
      <c r="F112" s="839">
        <f t="shared" si="2"/>
        <v>0.94587483686999352</v>
      </c>
    </row>
    <row r="113" spans="1:10" ht="26.25" customHeight="1" x14ac:dyDescent="0.4">
      <c r="A113" s="725" t="s">
        <v>99</v>
      </c>
      <c r="B113" s="726">
        <v>1</v>
      </c>
      <c r="C113" s="840">
        <v>6</v>
      </c>
      <c r="D113" s="841">
        <v>2803429</v>
      </c>
      <c r="E113" s="842">
        <f t="shared" si="1"/>
        <v>260.6978060360309</v>
      </c>
      <c r="F113" s="843">
        <f t="shared" si="2"/>
        <v>0.94799202194920329</v>
      </c>
    </row>
    <row r="114" spans="1:10" ht="26.25" customHeight="1" x14ac:dyDescent="0.4">
      <c r="A114" s="725" t="s">
        <v>100</v>
      </c>
      <c r="B114" s="726">
        <v>1</v>
      </c>
      <c r="C114" s="834"/>
      <c r="D114" s="754"/>
      <c r="E114" s="699"/>
      <c r="F114" s="844"/>
    </row>
    <row r="115" spans="1:10" ht="26.25" customHeight="1" x14ac:dyDescent="0.4">
      <c r="A115" s="725" t="s">
        <v>101</v>
      </c>
      <c r="B115" s="726">
        <v>1</v>
      </c>
      <c r="C115" s="834"/>
      <c r="D115" s="845" t="s">
        <v>70</v>
      </c>
      <c r="E115" s="846">
        <f>AVERAGE(E108:E113)</f>
        <v>260.181108837848</v>
      </c>
      <c r="F115" s="847">
        <f>AVERAGE(F108:F113)</f>
        <v>0.94611312304671991</v>
      </c>
    </row>
    <row r="116" spans="1:10" ht="27" customHeight="1" thickBot="1" x14ac:dyDescent="0.45">
      <c r="A116" s="725" t="s">
        <v>102</v>
      </c>
      <c r="B116" s="737">
        <f>(B115/B114)*(B113/B112)*(B111/B110)*(B109/B108)*B107</f>
        <v>900</v>
      </c>
      <c r="C116" s="848"/>
      <c r="D116" s="710" t="s">
        <v>83</v>
      </c>
      <c r="E116" s="849">
        <f>STDEV(E108:E113)/E115</f>
        <v>1.1478671296964555E-3</v>
      </c>
      <c r="F116" s="849">
        <f>STDEV(F108:F113)/F115</f>
        <v>1.1478671296964572E-3</v>
      </c>
      <c r="I116" s="699"/>
    </row>
    <row r="117" spans="1:10" ht="27" customHeight="1" thickBot="1" x14ac:dyDescent="0.45">
      <c r="A117" s="913" t="s">
        <v>77</v>
      </c>
      <c r="B117" s="917"/>
      <c r="C117" s="850"/>
      <c r="D117" s="851" t="s">
        <v>19</v>
      </c>
      <c r="E117" s="852">
        <f>COUNT(E108:E113)</f>
        <v>6</v>
      </c>
      <c r="F117" s="852">
        <f>COUNT(F108:F113)</f>
        <v>6</v>
      </c>
      <c r="I117" s="699"/>
      <c r="J117" s="828"/>
    </row>
    <row r="118" spans="1:10" ht="19.5" customHeight="1" thickBot="1" x14ac:dyDescent="0.35">
      <c r="A118" s="915"/>
      <c r="B118" s="918"/>
      <c r="C118" s="699"/>
      <c r="D118" s="699"/>
      <c r="E118" s="699"/>
      <c r="F118" s="754"/>
      <c r="G118" s="699"/>
      <c r="H118" s="699"/>
      <c r="I118" s="699"/>
    </row>
    <row r="119" spans="1:10" ht="18.75" x14ac:dyDescent="0.3">
      <c r="A119" s="853"/>
      <c r="B119" s="721"/>
      <c r="C119" s="699"/>
      <c r="D119" s="699"/>
      <c r="E119" s="699"/>
      <c r="F119" s="754"/>
      <c r="G119" s="699"/>
      <c r="H119" s="699"/>
      <c r="I119" s="699"/>
    </row>
    <row r="120" spans="1:10" ht="26.25" customHeight="1" x14ac:dyDescent="0.4">
      <c r="A120" s="709" t="s">
        <v>105</v>
      </c>
      <c r="B120" s="710" t="s">
        <v>122</v>
      </c>
      <c r="C120" s="919" t="str">
        <f>B20</f>
        <v>ETHAMBUTOL HCl</v>
      </c>
      <c r="D120" s="919"/>
      <c r="E120" s="699" t="s">
        <v>123</v>
      </c>
      <c r="F120" s="699"/>
      <c r="G120" s="805">
        <f>F115</f>
        <v>0.94611312304671991</v>
      </c>
      <c r="H120" s="699"/>
      <c r="I120" s="699"/>
    </row>
    <row r="121" spans="1:10" ht="19.5" customHeight="1" thickBot="1" x14ac:dyDescent="0.35">
      <c r="A121" s="854"/>
      <c r="B121" s="854"/>
      <c r="C121" s="855"/>
      <c r="D121" s="855"/>
      <c r="E121" s="855"/>
      <c r="F121" s="855"/>
      <c r="G121" s="855"/>
      <c r="H121" s="855"/>
    </row>
    <row r="122" spans="1:10" ht="18.75" x14ac:dyDescent="0.3">
      <c r="B122" s="920" t="s">
        <v>25</v>
      </c>
      <c r="C122" s="920"/>
      <c r="E122" s="808" t="s">
        <v>26</v>
      </c>
      <c r="F122" s="856"/>
      <c r="G122" s="920" t="s">
        <v>27</v>
      </c>
      <c r="H122" s="920"/>
    </row>
    <row r="123" spans="1:10" ht="69.95" customHeight="1" x14ac:dyDescent="0.3">
      <c r="A123" s="709" t="s">
        <v>28</v>
      </c>
      <c r="B123" s="857"/>
      <c r="C123" s="857"/>
      <c r="E123" s="857"/>
      <c r="F123" s="699"/>
      <c r="G123" s="857"/>
      <c r="H123" s="857"/>
    </row>
    <row r="124" spans="1:10" ht="69.95" customHeight="1" x14ac:dyDescent="0.3">
      <c r="A124" s="709" t="s">
        <v>29</v>
      </c>
      <c r="B124" s="858"/>
      <c r="C124" s="858"/>
      <c r="E124" s="858"/>
      <c r="F124" s="699"/>
      <c r="G124" s="859"/>
      <c r="H124" s="859"/>
    </row>
    <row r="125" spans="1:10" ht="18.75" x14ac:dyDescent="0.3">
      <c r="A125" s="754"/>
      <c r="B125" s="754"/>
      <c r="C125" s="754"/>
      <c r="D125" s="754"/>
      <c r="E125" s="754"/>
      <c r="F125" s="756"/>
      <c r="G125" s="754"/>
      <c r="H125" s="754"/>
      <c r="I125" s="699"/>
    </row>
    <row r="126" spans="1:10" ht="18.75" x14ac:dyDescent="0.3">
      <c r="A126" s="754"/>
      <c r="B126" s="754"/>
      <c r="C126" s="754"/>
      <c r="D126" s="754"/>
      <c r="E126" s="754"/>
      <c r="F126" s="756"/>
      <c r="G126" s="754"/>
      <c r="H126" s="754"/>
      <c r="I126" s="699"/>
    </row>
    <row r="127" spans="1:10" ht="18.75" x14ac:dyDescent="0.3">
      <c r="A127" s="754"/>
      <c r="B127" s="754"/>
      <c r="C127" s="754"/>
      <c r="D127" s="754"/>
      <c r="E127" s="754"/>
      <c r="F127" s="756"/>
      <c r="G127" s="754"/>
      <c r="H127" s="754"/>
      <c r="I127" s="699"/>
    </row>
    <row r="128" spans="1:10" ht="18.75" x14ac:dyDescent="0.3">
      <c r="A128" s="754"/>
      <c r="B128" s="754"/>
      <c r="C128" s="754"/>
      <c r="D128" s="754"/>
      <c r="E128" s="754"/>
      <c r="F128" s="756"/>
      <c r="G128" s="754"/>
      <c r="H128" s="754"/>
      <c r="I128" s="699"/>
    </row>
    <row r="129" spans="1:9" ht="18.75" x14ac:dyDescent="0.3">
      <c r="A129" s="754"/>
      <c r="B129" s="754"/>
      <c r="C129" s="754"/>
      <c r="D129" s="754"/>
      <c r="E129" s="754"/>
      <c r="F129" s="756"/>
      <c r="G129" s="754"/>
      <c r="H129" s="754"/>
      <c r="I129" s="699"/>
    </row>
    <row r="130" spans="1:9" ht="18.75" x14ac:dyDescent="0.3">
      <c r="A130" s="754"/>
      <c r="B130" s="754"/>
      <c r="C130" s="754"/>
      <c r="D130" s="754"/>
      <c r="E130" s="754"/>
      <c r="F130" s="756"/>
      <c r="G130" s="754"/>
      <c r="H130" s="754"/>
      <c r="I130" s="699"/>
    </row>
    <row r="131" spans="1:9" ht="18.75" x14ac:dyDescent="0.3">
      <c r="A131" s="754"/>
      <c r="B131" s="754"/>
      <c r="C131" s="754"/>
      <c r="D131" s="754"/>
      <c r="E131" s="754"/>
      <c r="F131" s="756"/>
      <c r="G131" s="754"/>
      <c r="H131" s="754"/>
      <c r="I131" s="699"/>
    </row>
    <row r="132" spans="1:9" ht="18.75" x14ac:dyDescent="0.3">
      <c r="A132" s="754"/>
      <c r="B132" s="754"/>
      <c r="C132" s="754"/>
      <c r="D132" s="754"/>
      <c r="E132" s="754"/>
      <c r="F132" s="756"/>
      <c r="G132" s="754"/>
      <c r="H132" s="754"/>
      <c r="I132" s="699"/>
    </row>
    <row r="133" spans="1:9" ht="18.75" x14ac:dyDescent="0.3">
      <c r="A133" s="754"/>
      <c r="B133" s="754"/>
      <c r="C133" s="754"/>
      <c r="D133" s="754"/>
      <c r="E133" s="754"/>
      <c r="F133" s="756"/>
      <c r="G133" s="754"/>
      <c r="H133" s="754"/>
      <c r="I133" s="699"/>
    </row>
    <row r="250" spans="1:1" x14ac:dyDescent="0.25">
      <c r="A250" s="656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1656249999999999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F33" sqref="F33"/>
    </sheetView>
  </sheetViews>
  <sheetFormatPr defaultRowHeight="13.5" x14ac:dyDescent="0.25"/>
  <cols>
    <col min="1" max="1" width="27.5703125" style="604" customWidth="1"/>
    <col min="2" max="2" width="20.42578125" style="604" customWidth="1"/>
    <col min="3" max="3" width="31.85546875" style="604" customWidth="1"/>
    <col min="4" max="4" width="25.85546875" style="604" customWidth="1"/>
    <col min="5" max="5" width="25.7109375" style="604" customWidth="1"/>
    <col min="6" max="6" width="23.140625" style="604" customWidth="1"/>
    <col min="7" max="7" width="28.42578125" style="604" customWidth="1"/>
    <col min="8" max="8" width="21.5703125" style="604" customWidth="1"/>
    <col min="9" max="9" width="9.140625" style="60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907" t="s">
        <v>0</v>
      </c>
      <c r="B15" s="907"/>
      <c r="C15" s="907"/>
      <c r="D15" s="907"/>
      <c r="E15" s="907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7" t="s">
        <v>134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NDQD201511523</v>
      </c>
      <c r="C19" s="53"/>
      <c r="D19" s="53"/>
      <c r="E19" s="53"/>
    </row>
    <row r="20" spans="1:5" ht="16.5" customHeight="1" x14ac:dyDescent="0.3">
      <c r="A20" s="8" t="s">
        <v>7</v>
      </c>
      <c r="B20" s="12">
        <v>16.47</v>
      </c>
      <c r="C20" s="53"/>
      <c r="D20" s="53"/>
      <c r="E20" s="53"/>
    </row>
    <row r="21" spans="1:5" ht="16.5" customHeight="1" x14ac:dyDescent="0.3">
      <c r="A21" s="8" t="s">
        <v>9</v>
      </c>
      <c r="B21" s="13">
        <f>B20/100</f>
        <v>0.16469999999999999</v>
      </c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3943710</v>
      </c>
      <c r="C24" s="18">
        <v>42637.4</v>
      </c>
      <c r="D24" s="19">
        <v>1.1000000000000001</v>
      </c>
      <c r="E24" s="20">
        <v>6.4</v>
      </c>
    </row>
    <row r="25" spans="1:5" ht="16.5" customHeight="1" x14ac:dyDescent="0.3">
      <c r="A25" s="17">
        <v>2</v>
      </c>
      <c r="B25" s="18">
        <v>3947384</v>
      </c>
      <c r="C25" s="18">
        <v>41570.199999999997</v>
      </c>
      <c r="D25" s="19">
        <v>1.1000000000000001</v>
      </c>
      <c r="E25" s="19">
        <v>6.4</v>
      </c>
    </row>
    <row r="26" spans="1:5" ht="16.5" customHeight="1" x14ac:dyDescent="0.3">
      <c r="A26" s="17">
        <v>3</v>
      </c>
      <c r="B26" s="18">
        <v>3929528</v>
      </c>
      <c r="C26" s="18">
        <v>41453.599999999999</v>
      </c>
      <c r="D26" s="19">
        <v>1.2</v>
      </c>
      <c r="E26" s="19">
        <v>6.4</v>
      </c>
    </row>
    <row r="27" spans="1:5" ht="16.5" customHeight="1" x14ac:dyDescent="0.3">
      <c r="A27" s="17">
        <v>4</v>
      </c>
      <c r="B27" s="18">
        <v>3927277</v>
      </c>
      <c r="C27" s="18">
        <v>41331.1</v>
      </c>
      <c r="D27" s="19">
        <v>1.2</v>
      </c>
      <c r="E27" s="19">
        <v>6.4</v>
      </c>
    </row>
    <row r="28" spans="1:5" ht="16.5" customHeight="1" x14ac:dyDescent="0.3">
      <c r="A28" s="17">
        <v>5</v>
      </c>
      <c r="B28" s="18">
        <v>3922488</v>
      </c>
      <c r="C28" s="18">
        <v>42122.5</v>
      </c>
      <c r="D28" s="19">
        <v>1.2</v>
      </c>
      <c r="E28" s="19">
        <v>6.4</v>
      </c>
    </row>
    <row r="29" spans="1:5" ht="16.5" customHeight="1" x14ac:dyDescent="0.3">
      <c r="A29" s="17">
        <v>6</v>
      </c>
      <c r="B29" s="21">
        <v>3910898</v>
      </c>
      <c r="C29" s="21">
        <v>41467.4</v>
      </c>
      <c r="D29" s="22">
        <v>1.1000000000000001</v>
      </c>
      <c r="E29" s="22">
        <v>6.4</v>
      </c>
    </row>
    <row r="30" spans="1:5" ht="16.5" customHeight="1" x14ac:dyDescent="0.3">
      <c r="A30" s="23" t="s">
        <v>17</v>
      </c>
      <c r="B30" s="24">
        <f>AVERAGE(B24:B29)</f>
        <v>3930214.1666666665</v>
      </c>
      <c r="C30" s="25">
        <f>AVERAGE(C24:C29)</f>
        <v>41763.700000000004</v>
      </c>
      <c r="D30" s="26">
        <f>AVERAGE(D24:D29)</f>
        <v>1.1500000000000001</v>
      </c>
      <c r="E30" s="26">
        <f>AVERAGE(E24:E29)</f>
        <v>6.3999999999999995</v>
      </c>
    </row>
    <row r="31" spans="1:5" ht="16.5" customHeight="1" x14ac:dyDescent="0.3">
      <c r="A31" s="27" t="s">
        <v>18</v>
      </c>
      <c r="B31" s="28">
        <f>(STDEV(B24:B29)/B30)</f>
        <v>3.4492148179169789E-3</v>
      </c>
      <c r="C31" s="29"/>
      <c r="D31" s="29"/>
      <c r="E31" s="30"/>
    </row>
    <row r="32" spans="1:5" s="604" customFormat="1" ht="16.5" customHeight="1" x14ac:dyDescent="0.3">
      <c r="A32" s="31" t="s">
        <v>19</v>
      </c>
      <c r="B32" s="32">
        <f>COUNT(B24:B29)</f>
        <v>6</v>
      </c>
      <c r="C32" s="33"/>
      <c r="D32" s="54"/>
      <c r="E32" s="35"/>
    </row>
    <row r="33" spans="1:5" s="604" customFormat="1" ht="15.75" customHeight="1" x14ac:dyDescent="0.25">
      <c r="A33" s="53"/>
      <c r="B33" s="53"/>
      <c r="C33" s="53"/>
      <c r="D33" s="53"/>
      <c r="E33" s="53"/>
    </row>
    <row r="34" spans="1:5" s="604" customFormat="1" ht="16.5" customHeight="1" x14ac:dyDescent="0.3">
      <c r="A34" s="5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55"/>
      <c r="B35" s="40" t="s">
        <v>22</v>
      </c>
      <c r="C35" s="39"/>
      <c r="D35" s="39"/>
      <c r="E35" s="39"/>
    </row>
    <row r="36" spans="1:5" ht="16.5" customHeight="1" x14ac:dyDescent="0.3">
      <c r="A36" s="55"/>
      <c r="B36" s="40" t="s">
        <v>23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24</v>
      </c>
    </row>
    <row r="39" spans="1:5" ht="16.5" customHeight="1" x14ac:dyDescent="0.3">
      <c r="A39" s="55" t="s">
        <v>4</v>
      </c>
      <c r="B39" s="607" t="s">
        <v>134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B19</f>
        <v>NDQD201511523</v>
      </c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16.47</v>
      </c>
      <c r="C41" s="53"/>
      <c r="D41" s="53"/>
      <c r="E41" s="53"/>
    </row>
    <row r="42" spans="1:5" ht="16.5" customHeight="1" x14ac:dyDescent="0.3">
      <c r="A42" s="8" t="s">
        <v>9</v>
      </c>
      <c r="B42" s="13">
        <f>B41/100</f>
        <v>0.16469999999999999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3943710</v>
      </c>
      <c r="C45" s="18">
        <v>42637.4</v>
      </c>
      <c r="D45" s="19">
        <v>1.1000000000000001</v>
      </c>
      <c r="E45" s="20">
        <v>6.4</v>
      </c>
    </row>
    <row r="46" spans="1:5" ht="16.5" customHeight="1" x14ac:dyDescent="0.3">
      <c r="A46" s="17">
        <v>2</v>
      </c>
      <c r="B46" s="18">
        <v>3947384</v>
      </c>
      <c r="C46" s="18">
        <v>41570.199999999997</v>
      </c>
      <c r="D46" s="19">
        <v>1.1000000000000001</v>
      </c>
      <c r="E46" s="19">
        <v>6.4</v>
      </c>
    </row>
    <row r="47" spans="1:5" ht="16.5" customHeight="1" x14ac:dyDescent="0.3">
      <c r="A47" s="17">
        <v>3</v>
      </c>
      <c r="B47" s="18">
        <v>3929528</v>
      </c>
      <c r="C47" s="18">
        <v>41453.599999999999</v>
      </c>
      <c r="D47" s="19">
        <v>1.2</v>
      </c>
      <c r="E47" s="19">
        <v>6.4</v>
      </c>
    </row>
    <row r="48" spans="1:5" ht="16.5" customHeight="1" x14ac:dyDescent="0.3">
      <c r="A48" s="17">
        <v>4</v>
      </c>
      <c r="B48" s="18">
        <v>3927277</v>
      </c>
      <c r="C48" s="18">
        <v>41331.1</v>
      </c>
      <c r="D48" s="19">
        <v>1.2</v>
      </c>
      <c r="E48" s="19">
        <v>6.4</v>
      </c>
    </row>
    <row r="49" spans="1:7" ht="16.5" customHeight="1" x14ac:dyDescent="0.3">
      <c r="A49" s="17">
        <v>5</v>
      </c>
      <c r="B49" s="18">
        <v>3922488</v>
      </c>
      <c r="C49" s="18">
        <v>42122.5</v>
      </c>
      <c r="D49" s="19">
        <v>1.2</v>
      </c>
      <c r="E49" s="19">
        <v>6.4</v>
      </c>
    </row>
    <row r="50" spans="1:7" ht="16.5" customHeight="1" x14ac:dyDescent="0.3">
      <c r="A50" s="17">
        <v>6</v>
      </c>
      <c r="B50" s="21">
        <v>3910898</v>
      </c>
      <c r="C50" s="21">
        <v>41467.4</v>
      </c>
      <c r="D50" s="22">
        <v>1.2</v>
      </c>
      <c r="E50" s="22">
        <v>6.4</v>
      </c>
    </row>
    <row r="51" spans="1:7" ht="16.5" customHeight="1" x14ac:dyDescent="0.3">
      <c r="A51" s="23" t="s">
        <v>17</v>
      </c>
      <c r="B51" s="24">
        <f>AVERAGE(B45:B50)</f>
        <v>3930214.1666666665</v>
      </c>
      <c r="C51" s="25">
        <f>AVERAGE(C45:C50)</f>
        <v>41763.700000000004</v>
      </c>
      <c r="D51" s="26">
        <f>AVERAGE(D45:D50)</f>
        <v>1.1666666666666667</v>
      </c>
      <c r="E51" s="26">
        <f>AVERAGE(E45:E50)</f>
        <v>6.3999999999999995</v>
      </c>
    </row>
    <row r="52" spans="1:7" ht="16.5" customHeight="1" x14ac:dyDescent="0.3">
      <c r="A52" s="27" t="s">
        <v>18</v>
      </c>
      <c r="B52" s="28">
        <f>(STDEV(B45:B50)/B51)</f>
        <v>3.4492148179169789E-3</v>
      </c>
      <c r="C52" s="29"/>
      <c r="D52" s="29"/>
      <c r="E52" s="30"/>
    </row>
    <row r="53" spans="1:7" s="604" customFormat="1" ht="16.5" customHeight="1" x14ac:dyDescent="0.3">
      <c r="A53" s="31" t="s">
        <v>19</v>
      </c>
      <c r="B53" s="32">
        <f>COUNT(B45:B50)</f>
        <v>6</v>
      </c>
      <c r="C53" s="33"/>
      <c r="D53" s="54"/>
      <c r="E53" s="35"/>
    </row>
    <row r="54" spans="1:7" s="604" customFormat="1" ht="15.75" customHeight="1" x14ac:dyDescent="0.25">
      <c r="A54" s="53"/>
      <c r="B54" s="53"/>
      <c r="C54" s="53"/>
      <c r="D54" s="53"/>
      <c r="E54" s="53"/>
    </row>
    <row r="55" spans="1:7" s="604" customFormat="1" ht="16.5" customHeight="1" x14ac:dyDescent="0.3">
      <c r="A55" s="5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55"/>
      <c r="B56" s="40" t="s">
        <v>22</v>
      </c>
      <c r="C56" s="39"/>
      <c r="D56" s="39"/>
      <c r="E56" s="39"/>
    </row>
    <row r="57" spans="1:7" ht="16.5" customHeight="1" x14ac:dyDescent="0.3">
      <c r="A57" s="5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603"/>
      <c r="D58" s="43"/>
      <c r="F58" s="44"/>
      <c r="G58" s="44"/>
    </row>
    <row r="59" spans="1:7" ht="15" customHeight="1" x14ac:dyDescent="0.3">
      <c r="B59" s="908" t="s">
        <v>25</v>
      </c>
      <c r="C59" s="908"/>
      <c r="E59" s="606" t="s">
        <v>26</v>
      </c>
      <c r="F59" s="46"/>
      <c r="G59" s="606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Uniformity</vt:lpstr>
      <vt:lpstr>Rifampicin</vt:lpstr>
      <vt:lpstr>SST I</vt:lpstr>
      <vt:lpstr>Isoniazid</vt:lpstr>
      <vt:lpstr>SST P</vt:lpstr>
      <vt:lpstr>Pyrazinamide</vt:lpstr>
      <vt:lpstr>SST E (2)</vt:lpstr>
      <vt:lpstr>Ethambutol hydrochloride (2)</vt:lpstr>
      <vt:lpstr>SST R</vt:lpstr>
      <vt:lpstr>'Ethambutol hydrochloride (2)'!Print_Area</vt:lpstr>
      <vt:lpstr>Isoniazid!Print_Area</vt:lpstr>
      <vt:lpstr>Pyrazinamide!Print_Area</vt:lpstr>
      <vt:lpstr>Rifampicin!Print_Area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2016-06-15T05:09:36Z</cp:lastPrinted>
  <dcterms:created xsi:type="dcterms:W3CDTF">2005-07-05T10:19:27Z</dcterms:created>
  <dcterms:modified xsi:type="dcterms:W3CDTF">2016-06-16T19:07:33Z</dcterms:modified>
</cp:coreProperties>
</file>