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firstSheet="1" activeTab="1"/>
  </bookViews>
  <sheets>
    <sheet name="SST E" sheetId="14" r:id="rId1"/>
    <sheet name="Ethambutol hydrochloride (2)" sheetId="15" r:id="rId2"/>
    <sheet name="Uniformity (2)" sheetId="13" r:id="rId3"/>
    <sheet name="Rifampicin" sheetId="3" r:id="rId4"/>
    <sheet name="SST I" sheetId="1" r:id="rId5"/>
    <sheet name="Isoniazid" sheetId="4" r:id="rId6"/>
    <sheet name="SST P" sheetId="7" r:id="rId7"/>
    <sheet name="Pyrazinamide" sheetId="5" r:id="rId8"/>
    <sheet name="SST R" sheetId="8" r:id="rId9"/>
  </sheets>
  <definedNames>
    <definedName name="_xlnm.Print_Area" localSheetId="1">'Ethambutol hydrochloride (2)'!$A$1:$I$125</definedName>
    <definedName name="_xlnm.Print_Area" localSheetId="5">Isoniazid!$A$1:$I$125</definedName>
    <definedName name="_xlnm.Print_Area" localSheetId="7">Pyrazinamide!$A$1:$I$125</definedName>
    <definedName name="_xlnm.Print_Area" localSheetId="3">Rifampicin!$A$1:$I$125</definedName>
    <definedName name="_xlnm.Print_Area" localSheetId="6">'SST P'!$A$1:$F$61</definedName>
    <definedName name="_xlnm.Print_Area" localSheetId="8">'SST R'!$A$1:$F$61</definedName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B57" i="15" l="1"/>
  <c r="D68" i="15" l="1"/>
  <c r="D64" i="15"/>
  <c r="C120" i="15"/>
  <c r="B116" i="15"/>
  <c r="D100" i="15"/>
  <c r="D101" i="15" s="1"/>
  <c r="B98" i="15"/>
  <c r="F96" i="15"/>
  <c r="F97" i="15" s="1"/>
  <c r="F98" i="15" s="1"/>
  <c r="F99" i="15" s="1"/>
  <c r="D96" i="15"/>
  <c r="F95" i="15"/>
  <c r="D95" i="15"/>
  <c r="G94" i="15"/>
  <c r="E94" i="15"/>
  <c r="B87" i="15"/>
  <c r="D97" i="15" s="1"/>
  <c r="D98" i="15" s="1"/>
  <c r="D99" i="15" s="1"/>
  <c r="B83" i="15"/>
  <c r="B81" i="15"/>
  <c r="B80" i="15"/>
  <c r="B79" i="15"/>
  <c r="C76" i="15"/>
  <c r="H71" i="15"/>
  <c r="G71" i="15"/>
  <c r="B68" i="15"/>
  <c r="H67" i="15"/>
  <c r="G67" i="15"/>
  <c r="H63" i="15"/>
  <c r="G63" i="15"/>
  <c r="G62" i="15"/>
  <c r="H62" i="15" s="1"/>
  <c r="G61" i="15"/>
  <c r="H61" i="15" s="1"/>
  <c r="G60" i="15"/>
  <c r="H60" i="15" s="1"/>
  <c r="C56" i="15"/>
  <c r="B55" i="15"/>
  <c r="D48" i="15"/>
  <c r="D45" i="15"/>
  <c r="D46" i="15" s="1"/>
  <c r="B45" i="15"/>
  <c r="D44" i="15"/>
  <c r="F42" i="15"/>
  <c r="D42" i="15"/>
  <c r="G41" i="15"/>
  <c r="E41" i="15"/>
  <c r="I39" i="15"/>
  <c r="E38" i="15"/>
  <c r="B34" i="15"/>
  <c r="F44" i="15" s="1"/>
  <c r="F45" i="15" s="1"/>
  <c r="F46" i="15" s="1"/>
  <c r="B30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21" i="14"/>
  <c r="B69" i="15" l="1"/>
  <c r="D102" i="15"/>
  <c r="E91" i="15"/>
  <c r="G92" i="15"/>
  <c r="G93" i="15"/>
  <c r="E92" i="15"/>
  <c r="E93" i="15"/>
  <c r="G91" i="15"/>
  <c r="G95" i="15" s="1"/>
  <c r="G40" i="15"/>
  <c r="D49" i="15"/>
  <c r="G39" i="15"/>
  <c r="E40" i="15"/>
  <c r="D50" i="15" s="1"/>
  <c r="G38" i="15"/>
  <c r="G42" i="15" s="1"/>
  <c r="E39" i="15"/>
  <c r="D52" i="15" s="1"/>
  <c r="E42" i="15"/>
  <c r="I92" i="15"/>
  <c r="D68" i="4"/>
  <c r="D60" i="4"/>
  <c r="D64" i="4"/>
  <c r="F96" i="4"/>
  <c r="D96" i="4"/>
  <c r="F96" i="5"/>
  <c r="D96" i="5"/>
  <c r="F96" i="3"/>
  <c r="D96" i="3"/>
  <c r="B41" i="7"/>
  <c r="B41" i="1"/>
  <c r="B41" i="8"/>
  <c r="G66" i="15" l="1"/>
  <c r="H66" i="15" s="1"/>
  <c r="G64" i="15"/>
  <c r="G65" i="15"/>
  <c r="H65" i="15" s="1"/>
  <c r="G70" i="15"/>
  <c r="H70" i="15" s="1"/>
  <c r="G69" i="15"/>
  <c r="H69" i="15" s="1"/>
  <c r="D51" i="15"/>
  <c r="G68" i="15"/>
  <c r="H68" i="15" s="1"/>
  <c r="D105" i="15"/>
  <c r="E95" i="15"/>
  <c r="D103" i="15"/>
  <c r="C46" i="13"/>
  <c r="C50" i="13" s="1"/>
  <c r="C45" i="13"/>
  <c r="C19" i="13"/>
  <c r="E112" i="15" l="1"/>
  <c r="F112" i="15" s="1"/>
  <c r="E110" i="15"/>
  <c r="F110" i="15" s="1"/>
  <c r="E108" i="15"/>
  <c r="E113" i="15"/>
  <c r="F113" i="15" s="1"/>
  <c r="E111" i="15"/>
  <c r="F111" i="15" s="1"/>
  <c r="E109" i="15"/>
  <c r="F109" i="15" s="1"/>
  <c r="D104" i="15"/>
  <c r="H64" i="15"/>
  <c r="G74" i="15"/>
  <c r="G72" i="15"/>
  <c r="G73" i="15" s="1"/>
  <c r="D33" i="13"/>
  <c r="D24" i="13"/>
  <c r="D29" i="13"/>
  <c r="D40" i="13"/>
  <c r="D25" i="13"/>
  <c r="D30" i="13"/>
  <c r="D36" i="13"/>
  <c r="D41" i="13"/>
  <c r="B49" i="13"/>
  <c r="D28" i="13"/>
  <c r="D38" i="13"/>
  <c r="D34" i="13"/>
  <c r="D26" i="13"/>
  <c r="D32" i="13"/>
  <c r="D37" i="13"/>
  <c r="D42" i="13"/>
  <c r="D49" i="13"/>
  <c r="D50" i="13"/>
  <c r="B57" i="3"/>
  <c r="B57" i="4" s="1"/>
  <c r="B57" i="5" s="1"/>
  <c r="D27" i="13"/>
  <c r="D31" i="13"/>
  <c r="D35" i="13"/>
  <c r="D39" i="13"/>
  <c r="D43" i="13"/>
  <c r="C49" i="13"/>
  <c r="B19" i="8"/>
  <c r="B19" i="7"/>
  <c r="B19" i="5"/>
  <c r="B19" i="4"/>
  <c r="B42" i="1"/>
  <c r="B42" i="7"/>
  <c r="B42" i="8"/>
  <c r="D68" i="5"/>
  <c r="D64" i="5"/>
  <c r="D60" i="5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E115" i="15" l="1"/>
  <c r="E116" i="15" s="1"/>
  <c r="E117" i="15"/>
  <c r="F108" i="15"/>
  <c r="H74" i="15"/>
  <c r="H72" i="15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F117" i="15" l="1"/>
  <c r="F115" i="15"/>
  <c r="G76" i="15"/>
  <c r="H73" i="15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120" i="15" l="1"/>
  <c r="F116" i="15"/>
  <c r="I92" i="4"/>
  <c r="F98" i="5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D46" i="5"/>
  <c r="E38" i="5"/>
  <c r="G91" i="5"/>
  <c r="D44" i="3"/>
  <c r="D45" i="3" s="1"/>
  <c r="E39" i="3" s="1"/>
  <c r="D49" i="3"/>
  <c r="D98" i="5"/>
  <c r="D99" i="5" s="1"/>
  <c r="D102" i="5"/>
  <c r="G94" i="5"/>
  <c r="G92" i="5"/>
  <c r="B69" i="4"/>
  <c r="D98" i="4"/>
  <c r="E91" i="4" s="1"/>
  <c r="D102" i="4"/>
  <c r="F44" i="4"/>
  <c r="F45" i="4" s="1"/>
  <c r="F46" i="4" s="1"/>
  <c r="D49" i="5"/>
  <c r="E40" i="5"/>
  <c r="E41" i="5"/>
  <c r="E39" i="5"/>
  <c r="B69" i="5"/>
  <c r="F44" i="5"/>
  <c r="F45" i="5" s="1"/>
  <c r="F46" i="5" s="1"/>
  <c r="E40" i="4" l="1"/>
  <c r="G93" i="4"/>
  <c r="G91" i="4"/>
  <c r="G95" i="4" s="1"/>
  <c r="G93" i="5"/>
  <c r="G95" i="5" s="1"/>
  <c r="G92" i="4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<sst xmlns="http://schemas.openxmlformats.org/spreadsheetml/2006/main" count="855" uniqueCount="145">
  <si>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</si>
  <si>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</si>
  <si>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</si>
  <si>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</si>
  <si>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</si>
  <si>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</si>
  <si>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</si>
  <si>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</si>
  <si>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</si>
  <si>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</si>
  <si>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</si>
  <si>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</si>
  <si>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</si>
  <si>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</si>
  <si>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</si>
  <si>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</si>
  <si>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</si>
  <si>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</si>
  <si>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</si>
  <si>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</si>
  <si>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</si>
  <si>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</si>
  <si>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</si>
  <si>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</si>
  <si>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</si>
  <si>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</si>
  <si>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</si>
  <si>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</si>
  <si>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</si>
  <si>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</si>
  <si>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</si>
  <si>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</si>
  <si>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</si>
  <si>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</si>
  <si>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</si>
  <si>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</si>
  <si>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</si>
  <si>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</si>
  <si>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</si>
  <si>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</si>
  <si>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</si>
  <si>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</si>
  <si>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</si>
  <si>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</si>
  <si>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</si>
  <si>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</si>
  <si>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</si>
  <si>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</si>
  <si>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</si>
  <si>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</si>
  <si>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</si>
  <si>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</si>
  <si>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</si>
  <si>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</si>
  <si>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</si>
  <si>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</si>
  <si>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</si>
  <si>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</si>
  <si>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</si>
  <si>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</si>
  <si>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</si>
  <si>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</si>
  <si>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</si>
  <si>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</si>
  <si>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</si>
  <si>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</si>
  <si>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</si>
  <si>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</si>
  <si>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</si>
  <si>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</si>
  <si>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</si>
  <si>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</si>
  <si>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</si>
  <si>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</si>
  <si>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</si>
  <si>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</si>
  <si>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</si>
  <si>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</si>
  <si>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</si>
  <si>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</si>
  <si>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</si>
  <si>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</si>
  <si>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</si>
  <si>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</si>
  <si>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</si>
  <si>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</si>
  <si>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</si>
  <si>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</si>
  <si>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</si>
  <si>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</si>
  <si>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</si>
  <si>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</si>
  <si>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</si>
  <si>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</si>
  <si>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</si>
  <si>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</si>
  <si>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</si>
  <si>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</si>
  <si>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</si>
  <si>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</si>
  <si>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</si>
  <si>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</si>
  <si>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</si>
  <si>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</si>
  <si>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</si>
  <si>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</si>
  <si>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</si>
  <si>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</si>
  <si>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</si>
  <si>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</si>
  <si>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</si>
  <si>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</si>
  <si>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</si>
  <si>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</si>
  <si>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</si>
  <si>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</si>
  <si>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</si>
  <si>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</si>
  <si>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</si>
  <si>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</si>
  <si>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</si>
  <si>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</si>
  <si>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</si>
  <si>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</si>
  <si>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</si>
  <si>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</si>
  <si>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</si>
  <si>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</si>
  <si>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</si>
  <si>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</si>
  <si>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</si>
  <si>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</si>
  <si>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</si>
  <si>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NDQD2016061085</t>
  </si>
  <si>
    <t>Pyrazinamide</t>
  </si>
  <si>
    <t>Rifampicin</t>
  </si>
  <si>
    <t xml:space="preserve"> ISONIAZID</t>
  </si>
  <si>
    <t>ETHAMBUTOL HCl</t>
  </si>
  <si>
    <t>NDQD2016061089</t>
  </si>
  <si>
    <t>NDQD2016061087</t>
  </si>
  <si>
    <t>2016-06-09 15:07:00</t>
  </si>
  <si>
    <t>NDQD2016061088</t>
  </si>
  <si>
    <t>ETHAMBUTOL HCl 275mg</t>
  </si>
  <si>
    <t>E12 3</t>
  </si>
  <si>
    <t>NDQD201511524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</si>
</sst>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1" fillId="2" borderId="0"/>
    <xf numFmtId="0" fontId="23" fillId="2" borderId="0"/>
  </cellStyleXfs>
  <cellXfs count="9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" fillId="2" borderId="0" xfId="1" applyFont="1" applyFill="1"/>
    <xf numFmtId="0" fontId="21" fillId="2" borderId="0" xfId="1" applyFill="1"/>
    <xf numFmtId="0" fontId="25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6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7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5" fillId="2" borderId="18" xfId="1" applyFont="1" applyFill="1" applyBorder="1" applyAlignment="1">
      <alignment horizontal="center" wrapText="1"/>
    </xf>
    <xf numFmtId="0" fontId="25" fillId="2" borderId="19" xfId="1" applyFont="1" applyFill="1" applyBorder="1" applyAlignment="1">
      <alignment horizontal="center" wrapText="1"/>
    </xf>
    <xf numFmtId="0" fontId="25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G27" sqref="G27"/>
    </sheetView>
  </sheetViews>
  <sheetFormatPr defaultRowHeight="13.5" x14ac:dyDescent="0.25"/>
  <cols>
    <col min="1" max="1" width="27.5703125" style="654" customWidth="1"/>
    <col min="2" max="2" width="20.42578125" style="654" customWidth="1"/>
    <col min="3" max="3" width="31.85546875" style="654" customWidth="1"/>
    <col min="4" max="4" width="25.85546875" style="654" customWidth="1"/>
    <col min="5" max="5" width="25.7109375" style="654" customWidth="1"/>
    <col min="6" max="6" width="23.140625" style="654" customWidth="1"/>
    <col min="7" max="7" width="28.42578125" style="654" customWidth="1"/>
    <col min="8" max="8" width="21.5703125" style="654" customWidth="1"/>
    <col min="9" max="9" width="9.140625" style="654" customWidth="1"/>
    <col min="10" max="16384" width="9.140625" style="611"/>
  </cols>
  <sheetData>
    <row r="14" spans="1:6" ht="15" customHeight="1" x14ac:dyDescent="0.3">
      <c r="A14" s="610"/>
      <c r="C14" s="655"/>
      <c r="F14" s="655"/>
    </row>
    <row r="15" spans="1:6" ht="18.75" customHeight="1" x14ac:dyDescent="0.3">
      <c r="A15" s="851" t="s">
        <v>0</v>
      </c>
      <c r="B15" s="851"/>
      <c r="C15" s="851"/>
      <c r="D15" s="851"/>
      <c r="E15" s="851"/>
    </row>
    <row r="16" spans="1:6" ht="16.5" customHeight="1" x14ac:dyDescent="0.3">
      <c r="A16" s="613" t="s">
        <v>1</v>
      </c>
      <c r="B16" s="618" t="s">
        <v>2</v>
      </c>
    </row>
    <row r="17" spans="1:5" ht="16.5" customHeight="1" x14ac:dyDescent="0.3">
      <c r="A17" s="656" t="s">
        <v>3</v>
      </c>
      <c r="B17" s="656" t="s">
        <v>5</v>
      </c>
      <c r="D17" s="657"/>
      <c r="E17" s="614"/>
    </row>
    <row r="18" spans="1:5" ht="16.5" customHeight="1" x14ac:dyDescent="0.3">
      <c r="A18" s="652" t="s">
        <v>4</v>
      </c>
      <c r="B18" s="654" t="s">
        <v>132</v>
      </c>
      <c r="C18" s="614"/>
      <c r="D18" s="614"/>
      <c r="E18" s="614"/>
    </row>
    <row r="19" spans="1:5" ht="16.5" customHeight="1" x14ac:dyDescent="0.3">
      <c r="A19" s="652" t="s">
        <v>6</v>
      </c>
      <c r="B19" s="658" t="s">
        <v>141</v>
      </c>
      <c r="C19" s="614"/>
      <c r="D19" s="614"/>
      <c r="E19" s="614"/>
    </row>
    <row r="20" spans="1:5" ht="16.5" customHeight="1" x14ac:dyDescent="0.3">
      <c r="A20" s="656" t="s">
        <v>7</v>
      </c>
      <c r="B20" s="658">
        <v>33.26</v>
      </c>
      <c r="C20" s="614"/>
      <c r="D20" s="614"/>
      <c r="E20" s="614"/>
    </row>
    <row r="21" spans="1:5" ht="16.5" customHeight="1" x14ac:dyDescent="0.3">
      <c r="A21" s="656" t="s">
        <v>9</v>
      </c>
      <c r="B21" s="659">
        <f>B20/100</f>
        <v>0.33260000000000001</v>
      </c>
      <c r="C21" s="614"/>
      <c r="D21" s="614"/>
      <c r="E21" s="614"/>
    </row>
    <row r="22" spans="1:5" ht="15.75" customHeight="1" x14ac:dyDescent="0.25">
      <c r="A22" s="614"/>
      <c r="B22" s="614"/>
      <c r="C22" s="614"/>
      <c r="D22" s="614"/>
      <c r="E22" s="614"/>
    </row>
    <row r="23" spans="1:5" ht="16.5" customHeight="1" x14ac:dyDescent="0.3">
      <c r="A23" s="660" t="s">
        <v>12</v>
      </c>
      <c r="B23" s="661" t="s">
        <v>13</v>
      </c>
      <c r="C23" s="660" t="s">
        <v>14</v>
      </c>
      <c r="D23" s="660" t="s">
        <v>15</v>
      </c>
      <c r="E23" s="660" t="s">
        <v>16</v>
      </c>
    </row>
    <row r="24" spans="1:5" ht="16.5" customHeight="1" x14ac:dyDescent="0.3">
      <c r="A24" s="662">
        <v>1</v>
      </c>
      <c r="B24" s="663">
        <v>3256014</v>
      </c>
      <c r="C24" s="663">
        <v>12800.8</v>
      </c>
      <c r="D24" s="664">
        <v>1.2</v>
      </c>
      <c r="E24" s="665">
        <v>4.5</v>
      </c>
    </row>
    <row r="25" spans="1:5" ht="16.5" customHeight="1" x14ac:dyDescent="0.3">
      <c r="A25" s="662">
        <v>2</v>
      </c>
      <c r="B25" s="663">
        <v>3247663</v>
      </c>
      <c r="C25" s="663">
        <v>12827.5</v>
      </c>
      <c r="D25" s="664">
        <v>1.2</v>
      </c>
      <c r="E25" s="664">
        <v>4.5</v>
      </c>
    </row>
    <row r="26" spans="1:5" ht="16.5" customHeight="1" x14ac:dyDescent="0.3">
      <c r="A26" s="662">
        <v>3</v>
      </c>
      <c r="B26" s="663">
        <v>3250365</v>
      </c>
      <c r="C26" s="663">
        <v>12805.7</v>
      </c>
      <c r="D26" s="664">
        <v>1.1000000000000001</v>
      </c>
      <c r="E26" s="664">
        <v>4.5</v>
      </c>
    </row>
    <row r="27" spans="1:5" ht="16.5" customHeight="1" x14ac:dyDescent="0.3">
      <c r="A27" s="662">
        <v>4</v>
      </c>
      <c r="B27" s="663">
        <v>3246653</v>
      </c>
      <c r="C27" s="663">
        <v>12778.3</v>
      </c>
      <c r="D27" s="664">
        <v>1.1000000000000001</v>
      </c>
      <c r="E27" s="664">
        <v>4.5</v>
      </c>
    </row>
    <row r="28" spans="1:5" ht="16.5" customHeight="1" x14ac:dyDescent="0.3">
      <c r="A28" s="662">
        <v>5</v>
      </c>
      <c r="B28" s="663">
        <v>3243670</v>
      </c>
      <c r="C28" s="663">
        <v>12721.5</v>
      </c>
      <c r="D28" s="664">
        <v>1.2</v>
      </c>
      <c r="E28" s="664">
        <v>4.5</v>
      </c>
    </row>
    <row r="29" spans="1:5" ht="16.5" customHeight="1" x14ac:dyDescent="0.3">
      <c r="A29" s="662">
        <v>6</v>
      </c>
      <c r="B29" s="666">
        <v>3239308</v>
      </c>
      <c r="C29" s="666">
        <v>12774.1</v>
      </c>
      <c r="D29" s="667">
        <v>1.1000000000000001</v>
      </c>
      <c r="E29" s="667">
        <v>4.3</v>
      </c>
    </row>
    <row r="30" spans="1:5" ht="16.5" customHeight="1" x14ac:dyDescent="0.3">
      <c r="A30" s="668" t="s">
        <v>17</v>
      </c>
      <c r="B30" s="669">
        <f>AVERAGE(B24:B29)</f>
        <v>3247278.8333333335</v>
      </c>
      <c r="C30" s="670">
        <f>AVERAGE(C24:C29)</f>
        <v>12784.650000000001</v>
      </c>
      <c r="D30" s="671">
        <f>AVERAGE(D24:D29)</f>
        <v>1.1500000000000001</v>
      </c>
      <c r="E30" s="671">
        <f>AVERAGE(E24:E29)</f>
        <v>4.4666666666666668</v>
      </c>
    </row>
    <row r="31" spans="1:5" ht="16.5" customHeight="1" x14ac:dyDescent="0.3">
      <c r="A31" s="672" t="s">
        <v>18</v>
      </c>
      <c r="B31" s="673">
        <f>(STDEV(B24:B29)/B30)</f>
        <v>1.7578784721686985E-3</v>
      </c>
      <c r="C31" s="674"/>
      <c r="D31" s="674"/>
      <c r="E31" s="675"/>
    </row>
    <row r="32" spans="1:5" s="654" customFormat="1" ht="16.5" customHeight="1" x14ac:dyDescent="0.3">
      <c r="A32" s="676" t="s">
        <v>19</v>
      </c>
      <c r="B32" s="677">
        <f>COUNT(B24:B29)</f>
        <v>6</v>
      </c>
      <c r="C32" s="678"/>
      <c r="D32" s="650"/>
      <c r="E32" s="679"/>
    </row>
    <row r="33" spans="1:5" s="654" customFormat="1" ht="15.75" customHeight="1" x14ac:dyDescent="0.25">
      <c r="A33" s="614"/>
      <c r="B33" s="614"/>
      <c r="C33" s="614"/>
      <c r="D33" s="614"/>
      <c r="E33" s="614"/>
    </row>
    <row r="34" spans="1:5" s="654" customFormat="1" ht="16.5" customHeight="1" x14ac:dyDescent="0.3">
      <c r="A34" s="652" t="s">
        <v>20</v>
      </c>
      <c r="B34" s="680" t="s">
        <v>21</v>
      </c>
      <c r="C34" s="681"/>
      <c r="D34" s="681"/>
      <c r="E34" s="681"/>
    </row>
    <row r="35" spans="1:5" ht="16.5" customHeight="1" x14ac:dyDescent="0.3">
      <c r="A35" s="652"/>
      <c r="B35" s="680" t="s">
        <v>22</v>
      </c>
      <c r="C35" s="681"/>
      <c r="D35" s="681"/>
      <c r="E35" s="681"/>
    </row>
    <row r="36" spans="1:5" ht="16.5" customHeight="1" x14ac:dyDescent="0.3">
      <c r="A36" s="652"/>
      <c r="B36" s="680" t="s">
        <v>23</v>
      </c>
      <c r="C36" s="681"/>
      <c r="D36" s="681"/>
      <c r="E36" s="681"/>
    </row>
    <row r="37" spans="1:5" ht="15.75" customHeight="1" x14ac:dyDescent="0.25">
      <c r="A37" s="614"/>
      <c r="B37" s="614"/>
      <c r="C37" s="614"/>
      <c r="D37" s="614"/>
      <c r="E37" s="614"/>
    </row>
    <row r="38" spans="1:5" ht="16.5" customHeight="1" x14ac:dyDescent="0.3">
      <c r="A38" s="613" t="s">
        <v>1</v>
      </c>
      <c r="B38" s="618" t="s">
        <v>24</v>
      </c>
    </row>
    <row r="39" spans="1:5" ht="16.5" customHeight="1" x14ac:dyDescent="0.3">
      <c r="A39" s="652" t="s">
        <v>4</v>
      </c>
      <c r="B39" s="656"/>
      <c r="C39" s="614"/>
      <c r="D39" s="614"/>
      <c r="E39" s="614"/>
    </row>
    <row r="40" spans="1:5" ht="16.5" customHeight="1" x14ac:dyDescent="0.3">
      <c r="A40" s="652" t="s">
        <v>6</v>
      </c>
      <c r="B40" s="658"/>
      <c r="C40" s="614"/>
      <c r="D40" s="614"/>
      <c r="E40" s="614"/>
    </row>
    <row r="41" spans="1:5" ht="16.5" customHeight="1" x14ac:dyDescent="0.3">
      <c r="A41" s="656" t="s">
        <v>7</v>
      </c>
      <c r="B41" s="658"/>
      <c r="C41" s="614"/>
      <c r="D41" s="614"/>
      <c r="E41" s="614"/>
    </row>
    <row r="42" spans="1:5" ht="16.5" customHeight="1" x14ac:dyDescent="0.3">
      <c r="A42" s="656" t="s">
        <v>9</v>
      </c>
      <c r="B42" s="659"/>
      <c r="C42" s="614"/>
      <c r="D42" s="614"/>
      <c r="E42" s="614"/>
    </row>
    <row r="43" spans="1:5" ht="15.75" customHeight="1" x14ac:dyDescent="0.25">
      <c r="A43" s="614"/>
      <c r="B43" s="614"/>
      <c r="C43" s="614"/>
      <c r="D43" s="614"/>
      <c r="E43" s="614"/>
    </row>
    <row r="44" spans="1:5" ht="16.5" customHeight="1" x14ac:dyDescent="0.3">
      <c r="A44" s="660" t="s">
        <v>12</v>
      </c>
      <c r="B44" s="661" t="s">
        <v>13</v>
      </c>
      <c r="C44" s="660" t="s">
        <v>14</v>
      </c>
      <c r="D44" s="660" t="s">
        <v>15</v>
      </c>
      <c r="E44" s="660" t="s">
        <v>16</v>
      </c>
    </row>
    <row r="45" spans="1:5" ht="16.5" customHeight="1" x14ac:dyDescent="0.3">
      <c r="A45" s="662">
        <v>1</v>
      </c>
      <c r="B45" s="663">
        <v>3256014</v>
      </c>
      <c r="C45" s="663">
        <v>12800.8</v>
      </c>
      <c r="D45" s="664">
        <v>1.2</v>
      </c>
      <c r="E45" s="665">
        <v>4.5</v>
      </c>
    </row>
    <row r="46" spans="1:5" ht="16.5" customHeight="1" x14ac:dyDescent="0.3">
      <c r="A46" s="662">
        <v>2</v>
      </c>
      <c r="B46" s="663">
        <v>3247663</v>
      </c>
      <c r="C46" s="663">
        <v>12827.5</v>
      </c>
      <c r="D46" s="664">
        <v>1.2</v>
      </c>
      <c r="E46" s="664">
        <v>4.5</v>
      </c>
    </row>
    <row r="47" spans="1:5" ht="16.5" customHeight="1" x14ac:dyDescent="0.3">
      <c r="A47" s="662">
        <v>3</v>
      </c>
      <c r="B47" s="663">
        <v>3250365</v>
      </c>
      <c r="C47" s="663">
        <v>12805.7</v>
      </c>
      <c r="D47" s="664">
        <v>1.1000000000000001</v>
      </c>
      <c r="E47" s="664">
        <v>4.5</v>
      </c>
    </row>
    <row r="48" spans="1:5" ht="16.5" customHeight="1" x14ac:dyDescent="0.3">
      <c r="A48" s="662">
        <v>4</v>
      </c>
      <c r="B48" s="663">
        <v>3246653</v>
      </c>
      <c r="C48" s="663">
        <v>12778.3</v>
      </c>
      <c r="D48" s="664">
        <v>1.1000000000000001</v>
      </c>
      <c r="E48" s="664">
        <v>4.5</v>
      </c>
    </row>
    <row r="49" spans="1:7" ht="16.5" customHeight="1" x14ac:dyDescent="0.3">
      <c r="A49" s="662">
        <v>5</v>
      </c>
      <c r="B49" s="663">
        <v>3243670</v>
      </c>
      <c r="C49" s="663">
        <v>12721.5</v>
      </c>
      <c r="D49" s="664">
        <v>1.2</v>
      </c>
      <c r="E49" s="664">
        <v>4.5</v>
      </c>
    </row>
    <row r="50" spans="1:7" ht="16.5" customHeight="1" x14ac:dyDescent="0.3">
      <c r="A50" s="662">
        <v>6</v>
      </c>
      <c r="B50" s="666">
        <v>3239308</v>
      </c>
      <c r="C50" s="666">
        <v>12774.1</v>
      </c>
      <c r="D50" s="667">
        <v>1.1000000000000001</v>
      </c>
      <c r="E50" s="667">
        <v>4.3</v>
      </c>
    </row>
    <row r="51" spans="1:7" ht="16.5" customHeight="1" x14ac:dyDescent="0.3">
      <c r="A51" s="668" t="s">
        <v>17</v>
      </c>
      <c r="B51" s="669">
        <f>AVERAGE(B45:B50)</f>
        <v>3247278.8333333335</v>
      </c>
      <c r="C51" s="670">
        <f>AVERAGE(C45:C50)</f>
        <v>12784.650000000001</v>
      </c>
      <c r="D51" s="671">
        <f>AVERAGE(D45:D50)</f>
        <v>1.1500000000000001</v>
      </c>
      <c r="E51" s="671">
        <f>AVERAGE(E45:E50)</f>
        <v>4.4666666666666668</v>
      </c>
    </row>
    <row r="52" spans="1:7" ht="16.5" customHeight="1" x14ac:dyDescent="0.3">
      <c r="A52" s="672" t="s">
        <v>18</v>
      </c>
      <c r="B52" s="673">
        <f>(STDEV(B45:B50)/B51)</f>
        <v>1.7578784721686985E-3</v>
      </c>
      <c r="C52" s="674"/>
      <c r="D52" s="674"/>
      <c r="E52" s="675"/>
    </row>
    <row r="53" spans="1:7" s="654" customFormat="1" ht="16.5" customHeight="1" x14ac:dyDescent="0.3">
      <c r="A53" s="676" t="s">
        <v>19</v>
      </c>
      <c r="B53" s="677">
        <f>COUNT(B45:B50)</f>
        <v>6</v>
      </c>
      <c r="C53" s="678"/>
      <c r="D53" s="650"/>
      <c r="E53" s="679"/>
    </row>
    <row r="54" spans="1:7" s="654" customFormat="1" ht="15.75" customHeight="1" x14ac:dyDescent="0.25">
      <c r="A54" s="614"/>
      <c r="B54" s="614"/>
      <c r="C54" s="614"/>
      <c r="D54" s="614"/>
      <c r="E54" s="614"/>
    </row>
    <row r="55" spans="1:7" s="654" customFormat="1" ht="16.5" customHeight="1" x14ac:dyDescent="0.3">
      <c r="A55" s="652" t="s">
        <v>20</v>
      </c>
      <c r="B55" s="680" t="s">
        <v>21</v>
      </c>
      <c r="C55" s="681"/>
      <c r="D55" s="681"/>
      <c r="E55" s="681"/>
    </row>
    <row r="56" spans="1:7" ht="16.5" customHeight="1" x14ac:dyDescent="0.3">
      <c r="A56" s="652"/>
      <c r="B56" s="680" t="s">
        <v>22</v>
      </c>
      <c r="C56" s="681"/>
      <c r="D56" s="681"/>
      <c r="E56" s="681"/>
    </row>
    <row r="57" spans="1:7" ht="16.5" customHeight="1" x14ac:dyDescent="0.3">
      <c r="A57" s="652"/>
      <c r="B57" s="680" t="s">
        <v>23</v>
      </c>
      <c r="C57" s="681"/>
      <c r="D57" s="681"/>
      <c r="E57" s="681"/>
    </row>
    <row r="58" spans="1:7" ht="14.25" customHeight="1" thickBot="1" x14ac:dyDescent="0.3">
      <c r="A58" s="682"/>
      <c r="B58" s="623"/>
      <c r="D58" s="683"/>
      <c r="F58" s="611"/>
      <c r="G58" s="611"/>
    </row>
    <row r="59" spans="1:7" ht="15" customHeight="1" x14ac:dyDescent="0.3">
      <c r="B59" s="852" t="s">
        <v>25</v>
      </c>
      <c r="C59" s="852"/>
      <c r="E59" s="684" t="s">
        <v>26</v>
      </c>
      <c r="F59" s="685"/>
      <c r="G59" s="684" t="s">
        <v>27</v>
      </c>
    </row>
    <row r="60" spans="1:7" ht="15" customHeight="1" x14ac:dyDescent="0.3">
      <c r="A60" s="686" t="s">
        <v>28</v>
      </c>
      <c r="B60" s="687"/>
      <c r="C60" s="687"/>
      <c r="E60" s="687"/>
      <c r="G60" s="687"/>
    </row>
    <row r="61" spans="1:7" ht="15" customHeight="1" x14ac:dyDescent="0.3">
      <c r="A61" s="686" t="s">
        <v>29</v>
      </c>
      <c r="B61" s="688"/>
      <c r="C61" s="688"/>
      <c r="E61" s="688"/>
      <c r="G61" s="68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0" zoomScale="50" zoomScaleNormal="40" zoomScalePageLayoutView="50" workbookViewId="0">
      <selection activeCell="D60" sqref="C60:H76"/>
    </sheetView>
  </sheetViews>
  <sheetFormatPr defaultColWidth="9.140625" defaultRowHeight="13.5" x14ac:dyDescent="0.25"/>
  <cols>
    <col min="1" max="1" width="55.42578125" style="654" customWidth="1"/>
    <col min="2" max="2" width="33.7109375" style="654" customWidth="1"/>
    <col min="3" max="3" width="42.28515625" style="654" customWidth="1"/>
    <col min="4" max="4" width="30.5703125" style="654" customWidth="1"/>
    <col min="5" max="5" width="39.85546875" style="654" customWidth="1"/>
    <col min="6" max="6" width="30.7109375" style="654" customWidth="1"/>
    <col min="7" max="7" width="39.85546875" style="654" customWidth="1"/>
    <col min="8" max="8" width="30" style="654" customWidth="1"/>
    <col min="9" max="9" width="30.28515625" style="654" hidden="1" customWidth="1"/>
    <col min="10" max="10" width="30.42578125" style="654" customWidth="1"/>
    <col min="11" max="11" width="21.28515625" style="654" customWidth="1"/>
    <col min="12" max="12" width="9.140625" style="654"/>
    <col min="13" max="16384" width="9.140625" style="611"/>
  </cols>
  <sheetData>
    <row r="1" spans="1:9" ht="18.75" customHeight="1" x14ac:dyDescent="0.25">
      <c r="A1" s="886" t="s">
        <v>44</v>
      </c>
      <c r="B1" s="886"/>
      <c r="C1" s="886"/>
      <c r="D1" s="886"/>
      <c r="E1" s="886"/>
      <c r="F1" s="886"/>
      <c r="G1" s="886"/>
      <c r="H1" s="886"/>
      <c r="I1" s="886"/>
    </row>
    <row r="2" spans="1:9" ht="18.75" customHeight="1" x14ac:dyDescent="0.25">
      <c r="A2" s="886"/>
      <c r="B2" s="886"/>
      <c r="C2" s="886"/>
      <c r="D2" s="886"/>
      <c r="E2" s="886"/>
      <c r="F2" s="886"/>
      <c r="G2" s="886"/>
      <c r="H2" s="886"/>
      <c r="I2" s="886"/>
    </row>
    <row r="3" spans="1:9" ht="18.75" customHeight="1" x14ac:dyDescent="0.25">
      <c r="A3" s="886"/>
      <c r="B3" s="886"/>
      <c r="C3" s="886"/>
      <c r="D3" s="886"/>
      <c r="E3" s="886"/>
      <c r="F3" s="886"/>
      <c r="G3" s="886"/>
      <c r="H3" s="886"/>
      <c r="I3" s="886"/>
    </row>
    <row r="4" spans="1:9" ht="18.75" customHeight="1" x14ac:dyDescent="0.25">
      <c r="A4" s="886"/>
      <c r="B4" s="886"/>
      <c r="C4" s="886"/>
      <c r="D4" s="886"/>
      <c r="E4" s="886"/>
      <c r="F4" s="886"/>
      <c r="G4" s="886"/>
      <c r="H4" s="886"/>
      <c r="I4" s="886"/>
    </row>
    <row r="5" spans="1:9" ht="18.75" customHeight="1" x14ac:dyDescent="0.25">
      <c r="A5" s="886"/>
      <c r="B5" s="886"/>
      <c r="C5" s="886"/>
      <c r="D5" s="886"/>
      <c r="E5" s="886"/>
      <c r="F5" s="886"/>
      <c r="G5" s="886"/>
      <c r="H5" s="886"/>
      <c r="I5" s="886"/>
    </row>
    <row r="6" spans="1:9" ht="18.75" customHeight="1" x14ac:dyDescent="0.25">
      <c r="A6" s="886"/>
      <c r="B6" s="886"/>
      <c r="C6" s="886"/>
      <c r="D6" s="886"/>
      <c r="E6" s="886"/>
      <c r="F6" s="886"/>
      <c r="G6" s="886"/>
      <c r="H6" s="886"/>
      <c r="I6" s="886"/>
    </row>
    <row r="7" spans="1:9" ht="18.75" customHeight="1" x14ac:dyDescent="0.25">
      <c r="A7" s="886"/>
      <c r="B7" s="886"/>
      <c r="C7" s="886"/>
      <c r="D7" s="886"/>
      <c r="E7" s="886"/>
      <c r="F7" s="886"/>
      <c r="G7" s="886"/>
      <c r="H7" s="886"/>
      <c r="I7" s="886"/>
    </row>
    <row r="8" spans="1:9" x14ac:dyDescent="0.25">
      <c r="A8" s="887" t="s">
        <v>45</v>
      </c>
      <c r="B8" s="887"/>
      <c r="C8" s="887"/>
      <c r="D8" s="887"/>
      <c r="E8" s="887"/>
      <c r="F8" s="887"/>
      <c r="G8" s="887"/>
      <c r="H8" s="887"/>
      <c r="I8" s="887"/>
    </row>
    <row r="9" spans="1:9" x14ac:dyDescent="0.25">
      <c r="A9" s="887"/>
      <c r="B9" s="887"/>
      <c r="C9" s="887"/>
      <c r="D9" s="887"/>
      <c r="E9" s="887"/>
      <c r="F9" s="887"/>
      <c r="G9" s="887"/>
      <c r="H9" s="887"/>
      <c r="I9" s="887"/>
    </row>
    <row r="10" spans="1:9" x14ac:dyDescent="0.25">
      <c r="A10" s="887"/>
      <c r="B10" s="887"/>
      <c r="C10" s="887"/>
      <c r="D10" s="887"/>
      <c r="E10" s="887"/>
      <c r="F10" s="887"/>
      <c r="G10" s="887"/>
      <c r="H10" s="887"/>
      <c r="I10" s="887"/>
    </row>
    <row r="11" spans="1:9" x14ac:dyDescent="0.25">
      <c r="A11" s="887"/>
      <c r="B11" s="887"/>
      <c r="C11" s="887"/>
      <c r="D11" s="887"/>
      <c r="E11" s="887"/>
      <c r="F11" s="887"/>
      <c r="G11" s="887"/>
      <c r="H11" s="887"/>
      <c r="I11" s="887"/>
    </row>
    <row r="12" spans="1:9" x14ac:dyDescent="0.25">
      <c r="A12" s="887"/>
      <c r="B12" s="887"/>
      <c r="C12" s="887"/>
      <c r="D12" s="887"/>
      <c r="E12" s="887"/>
      <c r="F12" s="887"/>
      <c r="G12" s="887"/>
      <c r="H12" s="887"/>
      <c r="I12" s="887"/>
    </row>
    <row r="13" spans="1:9" x14ac:dyDescent="0.25">
      <c r="A13" s="887"/>
      <c r="B13" s="887"/>
      <c r="C13" s="887"/>
      <c r="D13" s="887"/>
      <c r="E13" s="887"/>
      <c r="F13" s="887"/>
      <c r="G13" s="887"/>
      <c r="H13" s="887"/>
      <c r="I13" s="887"/>
    </row>
    <row r="14" spans="1:9" x14ac:dyDescent="0.25">
      <c r="A14" s="887"/>
      <c r="B14" s="887"/>
      <c r="C14" s="887"/>
      <c r="D14" s="887"/>
      <c r="E14" s="887"/>
      <c r="F14" s="887"/>
      <c r="G14" s="887"/>
      <c r="H14" s="887"/>
      <c r="I14" s="887"/>
    </row>
    <row r="15" spans="1:9" ht="19.5" customHeight="1" thickBot="1" x14ac:dyDescent="0.35">
      <c r="A15" s="690"/>
    </row>
    <row r="16" spans="1:9" ht="19.5" customHeight="1" thickBot="1" x14ac:dyDescent="0.35">
      <c r="A16" s="888" t="s">
        <v>30</v>
      </c>
      <c r="B16" s="889"/>
      <c r="C16" s="889"/>
      <c r="D16" s="889"/>
      <c r="E16" s="889"/>
      <c r="F16" s="889"/>
      <c r="G16" s="889"/>
      <c r="H16" s="890"/>
    </row>
    <row r="17" spans="1:14" ht="20.25" customHeight="1" x14ac:dyDescent="0.25">
      <c r="A17" s="891" t="s">
        <v>46</v>
      </c>
      <c r="B17" s="891"/>
      <c r="C17" s="891"/>
      <c r="D17" s="891"/>
      <c r="E17" s="891"/>
      <c r="F17" s="891"/>
      <c r="G17" s="891"/>
      <c r="H17" s="891"/>
    </row>
    <row r="18" spans="1:14" ht="26.25" customHeight="1" x14ac:dyDescent="0.4">
      <c r="A18" s="691" t="s">
        <v>32</v>
      </c>
      <c r="B18" s="884" t="s">
        <v>5</v>
      </c>
      <c r="C18" s="884"/>
      <c r="D18" s="692"/>
      <c r="E18" s="693"/>
      <c r="F18" s="694"/>
      <c r="G18" s="694"/>
      <c r="H18" s="694"/>
    </row>
    <row r="19" spans="1:14" ht="26.25" customHeight="1" x14ac:dyDescent="0.4">
      <c r="A19" s="691" t="s">
        <v>33</v>
      </c>
      <c r="B19" s="695" t="s">
        <v>144</v>
      </c>
      <c r="C19" s="694">
        <v>29</v>
      </c>
      <c r="D19" s="694"/>
      <c r="E19" s="694"/>
      <c r="F19" s="694"/>
      <c r="G19" s="694"/>
      <c r="H19" s="694"/>
    </row>
    <row r="20" spans="1:14" ht="26.25" customHeight="1" x14ac:dyDescent="0.4">
      <c r="A20" s="691" t="s">
        <v>34</v>
      </c>
      <c r="B20" s="883" t="s">
        <v>137</v>
      </c>
      <c r="C20" s="883"/>
      <c r="D20" s="694"/>
      <c r="E20" s="694"/>
      <c r="F20" s="694"/>
      <c r="G20" s="694"/>
      <c r="H20" s="694"/>
    </row>
    <row r="21" spans="1:14" ht="26.25" customHeight="1" x14ac:dyDescent="0.4">
      <c r="A21" s="691" t="s">
        <v>35</v>
      </c>
      <c r="B21" s="883" t="s">
        <v>142</v>
      </c>
      <c r="C21" s="883"/>
      <c r="D21" s="883"/>
      <c r="E21" s="883"/>
      <c r="F21" s="883"/>
      <c r="G21" s="883"/>
      <c r="H21" s="883"/>
      <c r="I21" s="696"/>
    </row>
    <row r="22" spans="1:14" ht="26.25" customHeight="1" x14ac:dyDescent="0.4">
      <c r="A22" s="691" t="s">
        <v>36</v>
      </c>
      <c r="B22" s="697" t="s">
        <v>11</v>
      </c>
      <c r="C22" s="694"/>
      <c r="D22" s="694"/>
      <c r="E22" s="694"/>
      <c r="F22" s="694"/>
      <c r="G22" s="694"/>
      <c r="H22" s="694"/>
    </row>
    <row r="23" spans="1:14" ht="26.25" customHeight="1" x14ac:dyDescent="0.4">
      <c r="A23" s="691" t="s">
        <v>37</v>
      </c>
      <c r="B23" s="697"/>
      <c r="C23" s="694"/>
      <c r="D23" s="694"/>
      <c r="E23" s="694"/>
      <c r="F23" s="694"/>
      <c r="G23" s="694"/>
      <c r="H23" s="694"/>
    </row>
    <row r="24" spans="1:14" ht="18.75" x14ac:dyDescent="0.3">
      <c r="A24" s="691"/>
      <c r="B24" s="698"/>
    </row>
    <row r="25" spans="1:14" ht="18.75" x14ac:dyDescent="0.3">
      <c r="A25" s="699" t="s">
        <v>1</v>
      </c>
      <c r="B25" s="698"/>
    </row>
    <row r="26" spans="1:14" ht="26.25" customHeight="1" x14ac:dyDescent="0.4">
      <c r="A26" s="700" t="s">
        <v>4</v>
      </c>
      <c r="B26" s="884" t="s">
        <v>127</v>
      </c>
      <c r="C26" s="884"/>
    </row>
    <row r="27" spans="1:14" ht="26.25" customHeight="1" x14ac:dyDescent="0.4">
      <c r="A27" s="701" t="s">
        <v>47</v>
      </c>
      <c r="B27" s="885" t="s">
        <v>143</v>
      </c>
      <c r="C27" s="885"/>
    </row>
    <row r="28" spans="1:14" ht="27" customHeight="1" thickBot="1" x14ac:dyDescent="0.45">
      <c r="A28" s="701" t="s">
        <v>6</v>
      </c>
      <c r="B28" s="702">
        <v>100</v>
      </c>
    </row>
    <row r="29" spans="1:14" s="660" customFormat="1" ht="27" customHeight="1" thickBot="1" x14ac:dyDescent="0.45">
      <c r="A29" s="701" t="s">
        <v>48</v>
      </c>
      <c r="B29" s="703">
        <v>0</v>
      </c>
      <c r="C29" s="863" t="s">
        <v>49</v>
      </c>
      <c r="D29" s="864"/>
      <c r="E29" s="864"/>
      <c r="F29" s="864"/>
      <c r="G29" s="865"/>
      <c r="I29" s="704"/>
      <c r="J29" s="704"/>
      <c r="K29" s="704"/>
      <c r="L29" s="704"/>
    </row>
    <row r="30" spans="1:14" s="660" customFormat="1" ht="19.5" customHeight="1" thickBot="1" x14ac:dyDescent="0.35">
      <c r="A30" s="701" t="s">
        <v>50</v>
      </c>
      <c r="B30" s="705">
        <f>B28-B29</f>
        <v>100</v>
      </c>
      <c r="C30" s="706"/>
      <c r="D30" s="706"/>
      <c r="E30" s="706"/>
      <c r="F30" s="706"/>
      <c r="G30" s="707"/>
      <c r="I30" s="704"/>
      <c r="J30" s="704"/>
      <c r="K30" s="704"/>
      <c r="L30" s="704"/>
    </row>
    <row r="31" spans="1:14" s="660" customFormat="1" ht="27" customHeight="1" thickBot="1" x14ac:dyDescent="0.45">
      <c r="A31" s="701" t="s">
        <v>51</v>
      </c>
      <c r="B31" s="708">
        <v>1</v>
      </c>
      <c r="C31" s="866" t="s">
        <v>52</v>
      </c>
      <c r="D31" s="867"/>
      <c r="E31" s="867"/>
      <c r="F31" s="867"/>
      <c r="G31" s="867"/>
      <c r="H31" s="868"/>
      <c r="I31" s="704"/>
      <c r="J31" s="704"/>
      <c r="K31" s="704"/>
      <c r="L31" s="704"/>
    </row>
    <row r="32" spans="1:14" s="660" customFormat="1" ht="27" customHeight="1" thickBot="1" x14ac:dyDescent="0.45">
      <c r="A32" s="701" t="s">
        <v>53</v>
      </c>
      <c r="B32" s="708">
        <v>1</v>
      </c>
      <c r="C32" s="866" t="s">
        <v>54</v>
      </c>
      <c r="D32" s="867"/>
      <c r="E32" s="867"/>
      <c r="F32" s="867"/>
      <c r="G32" s="867"/>
      <c r="H32" s="868"/>
      <c r="I32" s="704"/>
      <c r="J32" s="704"/>
      <c r="K32" s="704"/>
      <c r="L32" s="709"/>
      <c r="M32" s="709"/>
      <c r="N32" s="710"/>
    </row>
    <row r="33" spans="1:14" s="660" customFormat="1" ht="17.25" customHeight="1" x14ac:dyDescent="0.3">
      <c r="A33" s="701"/>
      <c r="B33" s="711"/>
      <c r="C33" s="712"/>
      <c r="D33" s="712"/>
      <c r="E33" s="712"/>
      <c r="F33" s="712"/>
      <c r="G33" s="712"/>
      <c r="H33" s="712"/>
      <c r="I33" s="704"/>
      <c r="J33" s="704"/>
      <c r="K33" s="704"/>
      <c r="L33" s="709"/>
      <c r="M33" s="709"/>
      <c r="N33" s="710"/>
    </row>
    <row r="34" spans="1:14" s="660" customFormat="1" ht="18.75" x14ac:dyDescent="0.3">
      <c r="A34" s="701" t="s">
        <v>55</v>
      </c>
      <c r="B34" s="713">
        <f>B31/B32</f>
        <v>1</v>
      </c>
      <c r="C34" s="690" t="s">
        <v>56</v>
      </c>
      <c r="D34" s="690"/>
      <c r="E34" s="690"/>
      <c r="F34" s="690"/>
      <c r="G34" s="690"/>
      <c r="I34" s="704"/>
      <c r="J34" s="704"/>
      <c r="K34" s="704"/>
      <c r="L34" s="709"/>
      <c r="M34" s="709"/>
      <c r="N34" s="710"/>
    </row>
    <row r="35" spans="1:14" s="660" customFormat="1" ht="19.5" customHeight="1" thickBot="1" x14ac:dyDescent="0.35">
      <c r="A35" s="701"/>
      <c r="B35" s="705"/>
      <c r="G35" s="690"/>
      <c r="I35" s="704"/>
      <c r="J35" s="704"/>
      <c r="K35" s="704"/>
      <c r="L35" s="709"/>
      <c r="M35" s="709"/>
      <c r="N35" s="710"/>
    </row>
    <row r="36" spans="1:14" s="660" customFormat="1" ht="27" customHeight="1" thickBot="1" x14ac:dyDescent="0.45">
      <c r="A36" s="714" t="s">
        <v>57</v>
      </c>
      <c r="B36" s="715">
        <v>100</v>
      </c>
      <c r="C36" s="690"/>
      <c r="D36" s="869" t="s">
        <v>58</v>
      </c>
      <c r="E36" s="882"/>
      <c r="F36" s="869" t="s">
        <v>59</v>
      </c>
      <c r="G36" s="870"/>
      <c r="J36" s="704"/>
      <c r="K36" s="704"/>
      <c r="L36" s="709"/>
      <c r="M36" s="709"/>
      <c r="N36" s="710"/>
    </row>
    <row r="37" spans="1:14" s="660" customFormat="1" ht="27" customHeight="1" thickBot="1" x14ac:dyDescent="0.45">
      <c r="A37" s="716" t="s">
        <v>60</v>
      </c>
      <c r="B37" s="717">
        <v>1</v>
      </c>
      <c r="C37" s="718" t="s">
        <v>61</v>
      </c>
      <c r="D37" s="719" t="s">
        <v>62</v>
      </c>
      <c r="E37" s="720" t="s">
        <v>63</v>
      </c>
      <c r="F37" s="719" t="s">
        <v>62</v>
      </c>
      <c r="G37" s="721" t="s">
        <v>63</v>
      </c>
      <c r="I37" s="722" t="s">
        <v>64</v>
      </c>
      <c r="J37" s="704"/>
      <c r="K37" s="704"/>
      <c r="L37" s="709"/>
      <c r="M37" s="709"/>
      <c r="N37" s="710"/>
    </row>
    <row r="38" spans="1:14" s="660" customFormat="1" ht="26.25" customHeight="1" x14ac:dyDescent="0.4">
      <c r="A38" s="716" t="s">
        <v>65</v>
      </c>
      <c r="B38" s="717">
        <v>1</v>
      </c>
      <c r="C38" s="723">
        <v>1</v>
      </c>
      <c r="D38" s="724">
        <v>3246653</v>
      </c>
      <c r="E38" s="725">
        <f>IF(ISBLANK(D38),"-",$D$48/$D$45*D38)</f>
        <v>2928430.2465423937</v>
      </c>
      <c r="F38" s="724">
        <v>2530413</v>
      </c>
      <c r="G38" s="726">
        <f>IF(ISBLANK(F38),"-",$D$48/$F$45*F38)</f>
        <v>2885305.5872291904</v>
      </c>
      <c r="I38" s="727"/>
      <c r="J38" s="704"/>
      <c r="K38" s="704"/>
      <c r="L38" s="709"/>
      <c r="M38" s="709"/>
      <c r="N38" s="710"/>
    </row>
    <row r="39" spans="1:14" s="660" customFormat="1" ht="26.25" customHeight="1" x14ac:dyDescent="0.4">
      <c r="A39" s="716" t="s">
        <v>66</v>
      </c>
      <c r="B39" s="717">
        <v>1</v>
      </c>
      <c r="C39" s="728">
        <v>2</v>
      </c>
      <c r="D39" s="729">
        <v>3243670</v>
      </c>
      <c r="E39" s="730">
        <f>IF(ISBLANK(D39),"-",$D$48/$D$45*D39)</f>
        <v>2925739.6271797959</v>
      </c>
      <c r="F39" s="729">
        <v>2527029</v>
      </c>
      <c r="G39" s="731">
        <f>IF(ISBLANK(F39),"-",$D$48/$F$45*F39)</f>
        <v>2881446.9783352339</v>
      </c>
      <c r="I39" s="853">
        <f>ABS((F43/D43*D42)-F42)/D42</f>
        <v>1.1824715094746604E-2</v>
      </c>
      <c r="J39" s="704"/>
      <c r="K39" s="704"/>
      <c r="L39" s="709"/>
      <c r="M39" s="709"/>
      <c r="N39" s="710"/>
    </row>
    <row r="40" spans="1:14" ht="26.25" customHeight="1" x14ac:dyDescent="0.4">
      <c r="A40" s="716" t="s">
        <v>67</v>
      </c>
      <c r="B40" s="717">
        <v>1</v>
      </c>
      <c r="C40" s="728">
        <v>3</v>
      </c>
      <c r="D40" s="729">
        <v>3239308</v>
      </c>
      <c r="E40" s="730">
        <f>IF(ISBLANK(D40),"-",$D$48/$D$45*D40)</f>
        <v>2921805.1713770297</v>
      </c>
      <c r="F40" s="729">
        <v>2524038</v>
      </c>
      <c r="G40" s="731">
        <f>IF(ISBLANK(F40),"-",$D$48/$F$45*F40)</f>
        <v>2878036.4880273659</v>
      </c>
      <c r="I40" s="853"/>
      <c r="L40" s="709"/>
      <c r="M40" s="709"/>
      <c r="N40" s="690"/>
    </row>
    <row r="41" spans="1:14" ht="27" customHeight="1" thickBot="1" x14ac:dyDescent="0.45">
      <c r="A41" s="716" t="s">
        <v>68</v>
      </c>
      <c r="B41" s="717">
        <v>1</v>
      </c>
      <c r="C41" s="732">
        <v>4</v>
      </c>
      <c r="D41" s="733"/>
      <c r="E41" s="734" t="str">
        <f>IF(ISBLANK(D41),"-",$D$48/$D$45*D41)</f>
        <v>-</v>
      </c>
      <c r="F41" s="733"/>
      <c r="G41" s="735" t="str">
        <f>IF(ISBLANK(F41),"-",$D$48/$F$45*F41)</f>
        <v>-</v>
      </c>
      <c r="I41" s="736"/>
      <c r="L41" s="709"/>
      <c r="M41" s="709"/>
      <c r="N41" s="690"/>
    </row>
    <row r="42" spans="1:14" ht="27" customHeight="1" thickBot="1" x14ac:dyDescent="0.45">
      <c r="A42" s="716" t="s">
        <v>69</v>
      </c>
      <c r="B42" s="717">
        <v>1</v>
      </c>
      <c r="C42" s="737" t="s">
        <v>70</v>
      </c>
      <c r="D42" s="738">
        <f>AVERAGE(D38:D41)</f>
        <v>3243210.3333333335</v>
      </c>
      <c r="E42" s="739">
        <f>AVERAGE(E38:E41)</f>
        <v>2925325.0150330733</v>
      </c>
      <c r="F42" s="738">
        <f>AVERAGE(F38:F41)</f>
        <v>2527160</v>
      </c>
      <c r="G42" s="740">
        <f>AVERAGE(G38:G41)</f>
        <v>2881596.3511972632</v>
      </c>
      <c r="H42" s="623"/>
    </row>
    <row r="43" spans="1:14" ht="26.25" customHeight="1" x14ac:dyDescent="0.4">
      <c r="A43" s="716" t="s">
        <v>71</v>
      </c>
      <c r="B43" s="717">
        <v>1</v>
      </c>
      <c r="C43" s="741" t="s">
        <v>72</v>
      </c>
      <c r="D43" s="742">
        <v>33.26</v>
      </c>
      <c r="E43" s="690"/>
      <c r="F43" s="742">
        <v>26.31</v>
      </c>
      <c r="H43" s="623"/>
    </row>
    <row r="44" spans="1:14" ht="26.25" customHeight="1" x14ac:dyDescent="0.4">
      <c r="A44" s="716" t="s">
        <v>73</v>
      </c>
      <c r="B44" s="717">
        <v>1</v>
      </c>
      <c r="C44" s="743" t="s">
        <v>74</v>
      </c>
      <c r="D44" s="744">
        <f>D43*$B$34</f>
        <v>33.26</v>
      </c>
      <c r="E44" s="745"/>
      <c r="F44" s="744">
        <f>F43*$B$34</f>
        <v>26.31</v>
      </c>
      <c r="H44" s="623"/>
    </row>
    <row r="45" spans="1:14" ht="19.5" customHeight="1" thickBot="1" x14ac:dyDescent="0.35">
      <c r="A45" s="716" t="s">
        <v>75</v>
      </c>
      <c r="B45" s="728">
        <f>(B44/B43)*(B42/B41)*(B40/B39)*(B38/B37)*B36</f>
        <v>100</v>
      </c>
      <c r="C45" s="743" t="s">
        <v>76</v>
      </c>
      <c r="D45" s="746">
        <f>D44*$B$30/100</f>
        <v>33.26</v>
      </c>
      <c r="E45" s="747"/>
      <c r="F45" s="746">
        <f>F44*$B$30/100</f>
        <v>26.31</v>
      </c>
      <c r="H45" s="623"/>
    </row>
    <row r="46" spans="1:14" ht="19.5" customHeight="1" thickBot="1" x14ac:dyDescent="0.35">
      <c r="A46" s="854" t="s">
        <v>77</v>
      </c>
      <c r="B46" s="858"/>
      <c r="C46" s="743" t="s">
        <v>78</v>
      </c>
      <c r="D46" s="748">
        <f>D45/$B$45</f>
        <v>0.33260000000000001</v>
      </c>
      <c r="E46" s="749"/>
      <c r="F46" s="750">
        <f>F45/$B$45</f>
        <v>0.2631</v>
      </c>
      <c r="H46" s="623"/>
    </row>
    <row r="47" spans="1:14" ht="27" customHeight="1" thickBot="1" x14ac:dyDescent="0.45">
      <c r="A47" s="856"/>
      <c r="B47" s="859"/>
      <c r="C47" s="751" t="s">
        <v>79</v>
      </c>
      <c r="D47" s="752">
        <v>0.3</v>
      </c>
      <c r="E47" s="753"/>
      <c r="F47" s="749"/>
      <c r="H47" s="623"/>
    </row>
    <row r="48" spans="1:14" ht="18.75" x14ac:dyDescent="0.3">
      <c r="C48" s="754" t="s">
        <v>80</v>
      </c>
      <c r="D48" s="746">
        <f>D47*$B$45</f>
        <v>30</v>
      </c>
      <c r="F48" s="755"/>
      <c r="H48" s="623"/>
    </row>
    <row r="49" spans="1:12" ht="19.5" customHeight="1" thickBot="1" x14ac:dyDescent="0.35">
      <c r="C49" s="756" t="s">
        <v>81</v>
      </c>
      <c r="D49" s="757">
        <f>D48/B34</f>
        <v>30</v>
      </c>
      <c r="F49" s="755"/>
      <c r="H49" s="623"/>
    </row>
    <row r="50" spans="1:12" ht="18.75" x14ac:dyDescent="0.3">
      <c r="C50" s="714" t="s">
        <v>82</v>
      </c>
      <c r="D50" s="758">
        <f>AVERAGE(E38:E41,G38:G41)</f>
        <v>2903460.683115168</v>
      </c>
      <c r="F50" s="759"/>
      <c r="H50" s="623"/>
    </row>
    <row r="51" spans="1:12" ht="18.75" x14ac:dyDescent="0.3">
      <c r="C51" s="716" t="s">
        <v>83</v>
      </c>
      <c r="D51" s="760">
        <f>STDEV(E38:E41,G38:G41)/D50</f>
        <v>8.3188563015657128E-3</v>
      </c>
      <c r="F51" s="759"/>
      <c r="H51" s="623"/>
    </row>
    <row r="52" spans="1:12" ht="19.5" customHeight="1" thickBot="1" x14ac:dyDescent="0.35">
      <c r="C52" s="761" t="s">
        <v>19</v>
      </c>
      <c r="D52" s="762">
        <f>COUNT(E38:E41,G38:G41)</f>
        <v>6</v>
      </c>
      <c r="F52" s="759"/>
    </row>
    <row r="54" spans="1:12" ht="18.75" x14ac:dyDescent="0.3">
      <c r="A54" s="763" t="s">
        <v>1</v>
      </c>
      <c r="B54" s="764" t="s">
        <v>84</v>
      </c>
    </row>
    <row r="55" spans="1:12" ht="18.75" x14ac:dyDescent="0.3">
      <c r="A55" s="690" t="s">
        <v>85</v>
      </c>
      <c r="B55" s="765" t="str">
        <f>B21</f>
        <v>ETHAMBUTOL HCl 275mg</v>
      </c>
    </row>
    <row r="56" spans="1:12" ht="26.25" customHeight="1" x14ac:dyDescent="0.4">
      <c r="A56" s="765" t="s">
        <v>86</v>
      </c>
      <c r="B56" s="766">
        <v>275</v>
      </c>
      <c r="C56" s="690" t="str">
        <f>B20</f>
        <v>ETHAMBUTOL HCl</v>
      </c>
      <c r="H56" s="745"/>
    </row>
    <row r="57" spans="1:12" ht="18.75" x14ac:dyDescent="0.3">
      <c r="A57" s="765" t="s">
        <v>87</v>
      </c>
      <c r="B57" s="767">
        <f>Rifampicin!B57</f>
        <v>1262.1402999999998</v>
      </c>
      <c r="H57" s="745"/>
    </row>
    <row r="58" spans="1:12" ht="19.5" customHeight="1" thickBot="1" x14ac:dyDescent="0.35">
      <c r="H58" s="745"/>
    </row>
    <row r="59" spans="1:12" s="660" customFormat="1" ht="27" customHeight="1" thickBot="1" x14ac:dyDescent="0.45">
      <c r="A59" s="714" t="s">
        <v>88</v>
      </c>
      <c r="B59" s="715">
        <v>200</v>
      </c>
      <c r="C59" s="690"/>
      <c r="D59" s="768" t="s">
        <v>89</v>
      </c>
      <c r="E59" s="769" t="s">
        <v>61</v>
      </c>
      <c r="F59" s="769" t="s">
        <v>62</v>
      </c>
      <c r="G59" s="769" t="s">
        <v>90</v>
      </c>
      <c r="H59" s="718" t="s">
        <v>91</v>
      </c>
      <c r="L59" s="704"/>
    </row>
    <row r="60" spans="1:12" s="660" customFormat="1" ht="26.25" customHeight="1" x14ac:dyDescent="0.4">
      <c r="A60" s="716" t="s">
        <v>92</v>
      </c>
      <c r="B60" s="717">
        <v>4</v>
      </c>
      <c r="C60" s="871" t="s">
        <v>93</v>
      </c>
      <c r="D60" s="874">
        <v>1279.67</v>
      </c>
      <c r="E60" s="770">
        <v>1</v>
      </c>
      <c r="F60" s="771">
        <v>2719629</v>
      </c>
      <c r="G60" s="772">
        <f>IF(ISBLANK(F60),"-",(F60/$D$50*$D$47*$B$68)*($B$57/$D$60))</f>
        <v>277.1562100840456</v>
      </c>
      <c r="H60" s="773">
        <f t="shared" ref="H60:H71" si="0">IF(ISBLANK(F60),"-",G60/$B$56)</f>
        <v>1.007840763941984</v>
      </c>
      <c r="L60" s="704"/>
    </row>
    <row r="61" spans="1:12" s="660" customFormat="1" ht="26.25" customHeight="1" x14ac:dyDescent="0.4">
      <c r="A61" s="716" t="s">
        <v>94</v>
      </c>
      <c r="B61" s="717">
        <v>20</v>
      </c>
      <c r="C61" s="872"/>
      <c r="D61" s="875"/>
      <c r="E61" s="774">
        <v>2</v>
      </c>
      <c r="F61" s="729">
        <v>2696638</v>
      </c>
      <c r="G61" s="775">
        <f>IF(ISBLANK(F61),"-",(F61/$D$50*$D$47*$B$68)*($B$57/$D$60))</f>
        <v>274.81320726048318</v>
      </c>
      <c r="H61" s="776">
        <f t="shared" si="0"/>
        <v>0.99932075367448425</v>
      </c>
      <c r="L61" s="704"/>
    </row>
    <row r="62" spans="1:12" s="660" customFormat="1" ht="26.25" customHeight="1" x14ac:dyDescent="0.4">
      <c r="A62" s="716" t="s">
        <v>95</v>
      </c>
      <c r="B62" s="717">
        <v>1</v>
      </c>
      <c r="C62" s="872"/>
      <c r="D62" s="875"/>
      <c r="E62" s="774">
        <v>3</v>
      </c>
      <c r="F62" s="777">
        <v>2669419</v>
      </c>
      <c r="G62" s="775">
        <f>IF(ISBLANK(F62),"-",(F62/$D$50*$D$47*$B$68)*($B$57/$D$60))</f>
        <v>272.03933079340709</v>
      </c>
      <c r="H62" s="776">
        <f t="shared" si="0"/>
        <v>0.989233930157844</v>
      </c>
      <c r="L62" s="704"/>
    </row>
    <row r="63" spans="1:12" ht="27" customHeight="1" thickBot="1" x14ac:dyDescent="0.45">
      <c r="A63" s="716" t="s">
        <v>96</v>
      </c>
      <c r="B63" s="717">
        <v>1</v>
      </c>
      <c r="C63" s="873"/>
      <c r="D63" s="876"/>
      <c r="E63" s="778">
        <v>4</v>
      </c>
      <c r="F63" s="779"/>
      <c r="G63" s="775" t="str">
        <f>IF(ISBLANK(F63),"-",(F63/$D$50*$D$47*$B$68)*($B$57/$D$60))</f>
        <v>-</v>
      </c>
      <c r="H63" s="776" t="str">
        <f t="shared" si="0"/>
        <v>-</v>
      </c>
    </row>
    <row r="64" spans="1:12" ht="26.25" customHeight="1" x14ac:dyDescent="0.4">
      <c r="A64" s="716" t="s">
        <v>97</v>
      </c>
      <c r="B64" s="717">
        <v>1</v>
      </c>
      <c r="C64" s="871" t="s">
        <v>98</v>
      </c>
      <c r="D64" s="874">
        <f>Rifampicin!D64</f>
        <v>1252.19</v>
      </c>
      <c r="E64" s="770">
        <v>1</v>
      </c>
      <c r="F64" s="771">
        <v>2702866</v>
      </c>
      <c r="G64" s="780">
        <f>IF(ISBLANK(F64),"-",(F64/$D$50*$D$47*$B$68)*($B$57/$D$64))</f>
        <v>281.4927560818528</v>
      </c>
      <c r="H64" s="781">
        <f t="shared" si="0"/>
        <v>1.0236100221158284</v>
      </c>
    </row>
    <row r="65" spans="1:8" ht="26.25" customHeight="1" x14ac:dyDescent="0.4">
      <c r="A65" s="716" t="s">
        <v>99</v>
      </c>
      <c r="B65" s="717">
        <v>1</v>
      </c>
      <c r="C65" s="872"/>
      <c r="D65" s="875"/>
      <c r="E65" s="774">
        <v>2</v>
      </c>
      <c r="F65" s="729">
        <v>2669676</v>
      </c>
      <c r="G65" s="782">
        <f>IF(ISBLANK(F65),"-",(F65/$D$50*$D$47*$B$68)*($B$57/$D$64))</f>
        <v>278.03614943751427</v>
      </c>
      <c r="H65" s="783">
        <f t="shared" si="0"/>
        <v>1.0110405434091427</v>
      </c>
    </row>
    <row r="66" spans="1:8" ht="26.25" customHeight="1" x14ac:dyDescent="0.4">
      <c r="A66" s="716" t="s">
        <v>100</v>
      </c>
      <c r="B66" s="717">
        <v>1</v>
      </c>
      <c r="C66" s="872"/>
      <c r="D66" s="875"/>
      <c r="E66" s="774">
        <v>3</v>
      </c>
      <c r="F66" s="729">
        <v>2638248</v>
      </c>
      <c r="G66" s="782">
        <f>IF(ISBLANK(F66),"-",(F66/$D$50*$D$47*$B$68)*($B$57/$D$64))</f>
        <v>274.76304809318549</v>
      </c>
      <c r="H66" s="783">
        <f t="shared" si="0"/>
        <v>0.99913835670249274</v>
      </c>
    </row>
    <row r="67" spans="1:8" ht="27" customHeight="1" thickBot="1" x14ac:dyDescent="0.45">
      <c r="A67" s="716" t="s">
        <v>101</v>
      </c>
      <c r="B67" s="717">
        <v>1</v>
      </c>
      <c r="C67" s="873"/>
      <c r="D67" s="876"/>
      <c r="E67" s="778">
        <v>4</v>
      </c>
      <c r="F67" s="779"/>
      <c r="G67" s="784" t="str">
        <f>IF(ISBLANK(F67),"-",(F67/$D$50*$D$47*$B$68)*($B$57/$D$64))</f>
        <v>-</v>
      </c>
      <c r="H67" s="785" t="str">
        <f t="shared" si="0"/>
        <v>-</v>
      </c>
    </row>
    <row r="68" spans="1:8" ht="26.25" customHeight="1" x14ac:dyDescent="0.4">
      <c r="A68" s="716" t="s">
        <v>102</v>
      </c>
      <c r="B68" s="786">
        <f>(B67/B66)*(B65/B64)*(B63/B62)*(B61/B60)*B59</f>
        <v>1000</v>
      </c>
      <c r="C68" s="871" t="s">
        <v>103</v>
      </c>
      <c r="D68" s="874">
        <f>Rifampicin!D68</f>
        <v>1254.3399999999999</v>
      </c>
      <c r="E68" s="770">
        <v>1</v>
      </c>
      <c r="F68" s="771">
        <v>2688595</v>
      </c>
      <c r="G68" s="780">
        <f>IF(ISBLANK(F68),"-",(F68/$D$50*$D$47*$B$68)*($B$57/$D$68))</f>
        <v>279.52654333574316</v>
      </c>
      <c r="H68" s="776">
        <f t="shared" si="0"/>
        <v>1.0164601575845205</v>
      </c>
    </row>
    <row r="69" spans="1:8" ht="27" customHeight="1" thickBot="1" x14ac:dyDescent="0.45">
      <c r="A69" s="761" t="s">
        <v>104</v>
      </c>
      <c r="B69" s="787">
        <f>(D47*B68)/B56*B57</f>
        <v>1376.8803272727268</v>
      </c>
      <c r="C69" s="872"/>
      <c r="D69" s="875"/>
      <c r="E69" s="774">
        <v>2</v>
      </c>
      <c r="F69" s="729">
        <v>2656118</v>
      </c>
      <c r="G69" s="782">
        <f>IF(ISBLANK(F69),"-",(F69/$D$50*$D$47*$B$68)*($B$57/$D$68))</f>
        <v>276.14999032276978</v>
      </c>
      <c r="H69" s="776">
        <f t="shared" si="0"/>
        <v>1.0041817829918902</v>
      </c>
    </row>
    <row r="70" spans="1:8" ht="26.25" customHeight="1" x14ac:dyDescent="0.4">
      <c r="A70" s="878" t="s">
        <v>77</v>
      </c>
      <c r="B70" s="879"/>
      <c r="C70" s="872"/>
      <c r="D70" s="875"/>
      <c r="E70" s="774">
        <v>3</v>
      </c>
      <c r="F70" s="729">
        <v>2628198</v>
      </c>
      <c r="G70" s="782">
        <f>IF(ISBLANK(F70),"-",(F70/$D$50*$D$47*$B$68)*($B$57/$D$68))</f>
        <v>273.24721727962503</v>
      </c>
      <c r="H70" s="776">
        <f t="shared" si="0"/>
        <v>0.99362624465318194</v>
      </c>
    </row>
    <row r="71" spans="1:8" ht="27" customHeight="1" thickBot="1" x14ac:dyDescent="0.45">
      <c r="A71" s="880"/>
      <c r="B71" s="881"/>
      <c r="C71" s="877"/>
      <c r="D71" s="876"/>
      <c r="E71" s="778">
        <v>4</v>
      </c>
      <c r="F71" s="779"/>
      <c r="G71" s="784" t="str">
        <f>IF(ISBLANK(F71),"-",(F71/$D$50*$D$47*$B$68)*($B$57/$D$68))</f>
        <v>-</v>
      </c>
      <c r="H71" s="788" t="str">
        <f t="shared" si="0"/>
        <v>-</v>
      </c>
    </row>
    <row r="72" spans="1:8" ht="26.25" customHeight="1" x14ac:dyDescent="0.4">
      <c r="A72" s="745"/>
      <c r="B72" s="745"/>
      <c r="C72" s="745"/>
      <c r="D72" s="745"/>
      <c r="E72" s="745"/>
      <c r="F72" s="789" t="s">
        <v>70</v>
      </c>
      <c r="G72" s="790">
        <f>AVERAGE(G60:G71)</f>
        <v>276.35827252095851</v>
      </c>
      <c r="H72" s="791">
        <f>AVERAGE(H60:H71)</f>
        <v>1.0049391728034855</v>
      </c>
    </row>
    <row r="73" spans="1:8" ht="26.25" customHeight="1" x14ac:dyDescent="0.4">
      <c r="C73" s="745"/>
      <c r="D73" s="745"/>
      <c r="E73" s="745"/>
      <c r="F73" s="792" t="s">
        <v>83</v>
      </c>
      <c r="G73" s="793">
        <f>STDEV(G60:G71)/G72</f>
        <v>1.0942579402052675E-2</v>
      </c>
      <c r="H73" s="793">
        <f>STDEV(H60:H71)/H72</f>
        <v>1.0942579402052656E-2</v>
      </c>
    </row>
    <row r="74" spans="1:8" ht="27" customHeight="1" thickBot="1" x14ac:dyDescent="0.45">
      <c r="A74" s="745"/>
      <c r="B74" s="745"/>
      <c r="C74" s="745"/>
      <c r="D74" s="745"/>
      <c r="E74" s="747"/>
      <c r="F74" s="794" t="s">
        <v>19</v>
      </c>
      <c r="G74" s="795">
        <f>COUNT(G60:G71)</f>
        <v>9</v>
      </c>
      <c r="H74" s="795">
        <f>COUNT(H60:H71)</f>
        <v>9</v>
      </c>
    </row>
    <row r="76" spans="1:8" ht="26.25" customHeight="1" x14ac:dyDescent="0.4">
      <c r="A76" s="700" t="s">
        <v>105</v>
      </c>
      <c r="B76" s="701" t="s">
        <v>106</v>
      </c>
      <c r="C76" s="860" t="str">
        <f>B20</f>
        <v>ETHAMBUTOL HCl</v>
      </c>
      <c r="D76" s="860"/>
      <c r="E76" s="690" t="s">
        <v>107</v>
      </c>
      <c r="F76" s="690"/>
      <c r="G76" s="796">
        <f>H72</f>
        <v>1.0049391728034855</v>
      </c>
      <c r="H76" s="705"/>
    </row>
    <row r="77" spans="1:8" ht="18.75" x14ac:dyDescent="0.3">
      <c r="A77" s="699" t="s">
        <v>108</v>
      </c>
      <c r="B77" s="699" t="s">
        <v>109</v>
      </c>
    </row>
    <row r="78" spans="1:8" ht="18.75" x14ac:dyDescent="0.3">
      <c r="A78" s="699"/>
      <c r="B78" s="699"/>
    </row>
    <row r="79" spans="1:8" ht="26.25" customHeight="1" x14ac:dyDescent="0.4">
      <c r="A79" s="700" t="s">
        <v>4</v>
      </c>
      <c r="B79" s="862" t="str">
        <f>B26</f>
        <v>ETHAMBUTOL HYDROCHLORIDE</v>
      </c>
      <c r="C79" s="862"/>
    </row>
    <row r="80" spans="1:8" ht="26.25" customHeight="1" x14ac:dyDescent="0.4">
      <c r="A80" s="701" t="s">
        <v>47</v>
      </c>
      <c r="B80" s="862" t="str">
        <f>B27</f>
        <v>E12 3</v>
      </c>
      <c r="C80" s="862"/>
    </row>
    <row r="81" spans="1:12" ht="27" customHeight="1" thickBot="1" x14ac:dyDescent="0.45">
      <c r="A81" s="701" t="s">
        <v>6</v>
      </c>
      <c r="B81" s="702">
        <f>B28</f>
        <v>100</v>
      </c>
    </row>
    <row r="82" spans="1:12" s="660" customFormat="1" ht="27" customHeight="1" thickBot="1" x14ac:dyDescent="0.45">
      <c r="A82" s="701" t="s">
        <v>48</v>
      </c>
      <c r="B82" s="703">
        <v>0</v>
      </c>
      <c r="C82" s="863" t="s">
        <v>49</v>
      </c>
      <c r="D82" s="864"/>
      <c r="E82" s="864"/>
      <c r="F82" s="864"/>
      <c r="G82" s="865"/>
      <c r="I82" s="704"/>
      <c r="J82" s="704"/>
      <c r="K82" s="704"/>
      <c r="L82" s="704"/>
    </row>
    <row r="83" spans="1:12" s="660" customFormat="1" ht="19.5" customHeight="1" thickBot="1" x14ac:dyDescent="0.35">
      <c r="A83" s="701" t="s">
        <v>50</v>
      </c>
      <c r="B83" s="705">
        <f>B81-B82</f>
        <v>100</v>
      </c>
      <c r="C83" s="706"/>
      <c r="D83" s="706"/>
      <c r="E83" s="706"/>
      <c r="F83" s="706"/>
      <c r="G83" s="707"/>
      <c r="I83" s="704"/>
      <c r="J83" s="704"/>
      <c r="K83" s="704"/>
      <c r="L83" s="704"/>
    </row>
    <row r="84" spans="1:12" s="660" customFormat="1" ht="27" customHeight="1" thickBot="1" x14ac:dyDescent="0.45">
      <c r="A84" s="701" t="s">
        <v>51</v>
      </c>
      <c r="B84" s="708">
        <v>1</v>
      </c>
      <c r="C84" s="866" t="s">
        <v>110</v>
      </c>
      <c r="D84" s="867"/>
      <c r="E84" s="867"/>
      <c r="F84" s="867"/>
      <c r="G84" s="867"/>
      <c r="H84" s="868"/>
      <c r="I84" s="704"/>
      <c r="J84" s="704"/>
      <c r="K84" s="704"/>
      <c r="L84" s="704"/>
    </row>
    <row r="85" spans="1:12" s="660" customFormat="1" ht="27" customHeight="1" thickBot="1" x14ac:dyDescent="0.45">
      <c r="A85" s="701" t="s">
        <v>53</v>
      </c>
      <c r="B85" s="708">
        <v>1</v>
      </c>
      <c r="C85" s="866" t="s">
        <v>111</v>
      </c>
      <c r="D85" s="867"/>
      <c r="E85" s="867"/>
      <c r="F85" s="867"/>
      <c r="G85" s="867"/>
      <c r="H85" s="868"/>
      <c r="I85" s="704"/>
      <c r="J85" s="704"/>
      <c r="K85" s="704"/>
      <c r="L85" s="704"/>
    </row>
    <row r="86" spans="1:12" s="660" customFormat="1" ht="18.75" x14ac:dyDescent="0.3">
      <c r="A86" s="701"/>
      <c r="B86" s="711"/>
      <c r="C86" s="712"/>
      <c r="D86" s="712"/>
      <c r="E86" s="712"/>
      <c r="F86" s="712"/>
      <c r="G86" s="712"/>
      <c r="H86" s="712"/>
      <c r="I86" s="704"/>
      <c r="J86" s="704"/>
      <c r="K86" s="704"/>
      <c r="L86" s="704"/>
    </row>
    <row r="87" spans="1:12" s="660" customFormat="1" ht="18.75" x14ac:dyDescent="0.3">
      <c r="A87" s="701" t="s">
        <v>55</v>
      </c>
      <c r="B87" s="713">
        <f>B84/B85</f>
        <v>1</v>
      </c>
      <c r="C87" s="690" t="s">
        <v>56</v>
      </c>
      <c r="D87" s="690"/>
      <c r="E87" s="690"/>
      <c r="F87" s="690"/>
      <c r="G87" s="690"/>
      <c r="I87" s="704"/>
      <c r="J87" s="704"/>
      <c r="K87" s="704"/>
      <c r="L87" s="704"/>
    </row>
    <row r="88" spans="1:12" ht="19.5" customHeight="1" thickBot="1" x14ac:dyDescent="0.35">
      <c r="A88" s="699"/>
      <c r="B88" s="699"/>
    </row>
    <row r="89" spans="1:12" ht="27" customHeight="1" thickBot="1" x14ac:dyDescent="0.45">
      <c r="A89" s="714" t="s">
        <v>57</v>
      </c>
      <c r="B89" s="715">
        <v>100</v>
      </c>
      <c r="D89" s="797" t="s">
        <v>58</v>
      </c>
      <c r="E89" s="798"/>
      <c r="F89" s="869" t="s">
        <v>59</v>
      </c>
      <c r="G89" s="870"/>
    </row>
    <row r="90" spans="1:12" ht="27" customHeight="1" thickBot="1" x14ac:dyDescent="0.45">
      <c r="A90" s="716" t="s">
        <v>60</v>
      </c>
      <c r="B90" s="717">
        <v>1</v>
      </c>
      <c r="C90" s="799" t="s">
        <v>61</v>
      </c>
      <c r="D90" s="719" t="s">
        <v>62</v>
      </c>
      <c r="E90" s="720" t="s">
        <v>63</v>
      </c>
      <c r="F90" s="719" t="s">
        <v>62</v>
      </c>
      <c r="G90" s="800" t="s">
        <v>63</v>
      </c>
      <c r="I90" s="722" t="s">
        <v>64</v>
      </c>
    </row>
    <row r="91" spans="1:12" ht="26.25" customHeight="1" x14ac:dyDescent="0.4">
      <c r="A91" s="716" t="s">
        <v>65</v>
      </c>
      <c r="B91" s="717">
        <v>1</v>
      </c>
      <c r="C91" s="801">
        <v>1</v>
      </c>
      <c r="D91" s="724">
        <v>3246653</v>
      </c>
      <c r="E91" s="725">
        <f>IF(ISBLANK(D91),"-",$D$101/$D$98*D91)</f>
        <v>2982660.4362931787</v>
      </c>
      <c r="F91" s="724">
        <v>2530413</v>
      </c>
      <c r="G91" s="726">
        <f>IF(ISBLANK(F91),"-",$D$101/$F$98*F91)</f>
        <v>2938737.1721778796</v>
      </c>
      <c r="I91" s="727"/>
    </row>
    <row r="92" spans="1:12" ht="26.25" customHeight="1" x14ac:dyDescent="0.4">
      <c r="A92" s="716" t="s">
        <v>66</v>
      </c>
      <c r="B92" s="717">
        <v>1</v>
      </c>
      <c r="C92" s="745">
        <v>2</v>
      </c>
      <c r="D92" s="729">
        <v>3243670</v>
      </c>
      <c r="E92" s="730">
        <f>IF(ISBLANK(D92),"-",$D$101/$D$98*D92)</f>
        <v>2979919.9906460885</v>
      </c>
      <c r="F92" s="729">
        <v>2527029</v>
      </c>
      <c r="G92" s="731">
        <f>IF(ISBLANK(F92),"-",$D$101/$F$98*F92)</f>
        <v>2934807.1075636647</v>
      </c>
      <c r="I92" s="853">
        <f>ABS((F96/D96*D95)-F95)/D95</f>
        <v>1.1824715094746604E-2</v>
      </c>
    </row>
    <row r="93" spans="1:12" ht="26.25" customHeight="1" x14ac:dyDescent="0.4">
      <c r="A93" s="716" t="s">
        <v>67</v>
      </c>
      <c r="B93" s="717">
        <v>1</v>
      </c>
      <c r="C93" s="745">
        <v>3</v>
      </c>
      <c r="D93" s="729">
        <v>3239308</v>
      </c>
      <c r="E93" s="730">
        <f>IF(ISBLANK(D93),"-",$D$101/$D$98*D93)</f>
        <v>2975912.6745506786</v>
      </c>
      <c r="F93" s="729">
        <v>2524038</v>
      </c>
      <c r="G93" s="731">
        <f>IF(ISBLANK(F93),"-",$D$101/$F$98*F93)</f>
        <v>2931333.4600278735</v>
      </c>
      <c r="I93" s="853"/>
    </row>
    <row r="94" spans="1:12" ht="27" customHeight="1" thickBot="1" x14ac:dyDescent="0.45">
      <c r="A94" s="716" t="s">
        <v>68</v>
      </c>
      <c r="B94" s="717">
        <v>1</v>
      </c>
      <c r="C94" s="802">
        <v>4</v>
      </c>
      <c r="D94" s="733"/>
      <c r="E94" s="734" t="str">
        <f>IF(ISBLANK(D94),"-",$D$101/$D$98*D94)</f>
        <v>-</v>
      </c>
      <c r="F94" s="733"/>
      <c r="G94" s="735" t="str">
        <f>IF(ISBLANK(F94),"-",$D$101/$F$98*F94)</f>
        <v>-</v>
      </c>
      <c r="I94" s="736"/>
    </row>
    <row r="95" spans="1:12" ht="27" customHeight="1" thickBot="1" x14ac:dyDescent="0.45">
      <c r="A95" s="716" t="s">
        <v>69</v>
      </c>
      <c r="B95" s="717">
        <v>1</v>
      </c>
      <c r="C95" s="701" t="s">
        <v>70</v>
      </c>
      <c r="D95" s="803">
        <f>AVERAGE(D91:D94)</f>
        <v>3243210.3333333335</v>
      </c>
      <c r="E95" s="739">
        <f>AVERAGE(E91:E94)</f>
        <v>2979497.7004966489</v>
      </c>
      <c r="F95" s="804">
        <f>AVERAGE(F91:F94)</f>
        <v>2527160</v>
      </c>
      <c r="G95" s="805">
        <f>AVERAGE(G91:G94)</f>
        <v>2934959.2465898059</v>
      </c>
    </row>
    <row r="96" spans="1:12" ht="26.25" customHeight="1" x14ac:dyDescent="0.4">
      <c r="A96" s="716" t="s">
        <v>71</v>
      </c>
      <c r="B96" s="702">
        <v>1</v>
      </c>
      <c r="C96" s="806" t="s">
        <v>112</v>
      </c>
      <c r="D96" s="807">
        <f>D43</f>
        <v>33.26</v>
      </c>
      <c r="E96" s="690"/>
      <c r="F96" s="742">
        <f>F43</f>
        <v>26.31</v>
      </c>
    </row>
    <row r="97" spans="1:10" ht="26.25" customHeight="1" x14ac:dyDescent="0.4">
      <c r="A97" s="716" t="s">
        <v>73</v>
      </c>
      <c r="B97" s="702">
        <v>1</v>
      </c>
      <c r="C97" s="808" t="s">
        <v>113</v>
      </c>
      <c r="D97" s="809">
        <f>D96*$B$87</f>
        <v>33.26</v>
      </c>
      <c r="E97" s="745"/>
      <c r="F97" s="744">
        <f>F96*$B$87</f>
        <v>26.31</v>
      </c>
    </row>
    <row r="98" spans="1:10" ht="19.5" customHeight="1" thickBot="1" x14ac:dyDescent="0.35">
      <c r="A98" s="716" t="s">
        <v>75</v>
      </c>
      <c r="B98" s="745">
        <f>(B97/B96)*(B95/B94)*(B93/B92)*(B91/B90)*B89</f>
        <v>100</v>
      </c>
      <c r="C98" s="808" t="s">
        <v>114</v>
      </c>
      <c r="D98" s="810">
        <f>D97*$B$83/100</f>
        <v>33.26</v>
      </c>
      <c r="E98" s="747"/>
      <c r="F98" s="746">
        <f>F97*$B$83/100</f>
        <v>26.31</v>
      </c>
    </row>
    <row r="99" spans="1:10" ht="19.5" customHeight="1" thickBot="1" x14ac:dyDescent="0.35">
      <c r="A99" s="854" t="s">
        <v>77</v>
      </c>
      <c r="B99" s="855"/>
      <c r="C99" s="808" t="s">
        <v>115</v>
      </c>
      <c r="D99" s="811">
        <f>D98/$B$98</f>
        <v>0.33260000000000001</v>
      </c>
      <c r="E99" s="747"/>
      <c r="F99" s="750">
        <f>F98/$B$98</f>
        <v>0.2631</v>
      </c>
      <c r="H99" s="623"/>
    </row>
    <row r="100" spans="1:10" ht="19.5" customHeight="1" thickBot="1" x14ac:dyDescent="0.35">
      <c r="A100" s="856"/>
      <c r="B100" s="857"/>
      <c r="C100" s="808" t="s">
        <v>79</v>
      </c>
      <c r="D100" s="812">
        <f>$B$56/$B$116</f>
        <v>0.30555555555555558</v>
      </c>
      <c r="F100" s="755"/>
      <c r="G100" s="813"/>
      <c r="H100" s="623"/>
    </row>
    <row r="101" spans="1:10" ht="18.75" x14ac:dyDescent="0.3">
      <c r="C101" s="808" t="s">
        <v>80</v>
      </c>
      <c r="D101" s="809">
        <f>D100*$B$98</f>
        <v>30.555555555555557</v>
      </c>
      <c r="F101" s="755"/>
      <c r="H101" s="623"/>
    </row>
    <row r="102" spans="1:10" ht="19.5" customHeight="1" thickBot="1" x14ac:dyDescent="0.35">
      <c r="C102" s="814" t="s">
        <v>81</v>
      </c>
      <c r="D102" s="815">
        <f>D101/B34</f>
        <v>30.555555555555557</v>
      </c>
      <c r="F102" s="759"/>
      <c r="H102" s="623"/>
      <c r="J102" s="816"/>
    </row>
    <row r="103" spans="1:10" ht="18.75" x14ac:dyDescent="0.3">
      <c r="C103" s="817" t="s">
        <v>116</v>
      </c>
      <c r="D103" s="818">
        <f>AVERAGE(E91:E94,G91:G94)</f>
        <v>2957228.4735432272</v>
      </c>
      <c r="F103" s="759"/>
      <c r="G103" s="813"/>
      <c r="H103" s="623"/>
      <c r="J103" s="819"/>
    </row>
    <row r="104" spans="1:10" ht="18.75" x14ac:dyDescent="0.3">
      <c r="C104" s="792" t="s">
        <v>83</v>
      </c>
      <c r="D104" s="820">
        <f>STDEV(E91:E94,G91:G94)/D103</f>
        <v>8.3188563015656001E-3</v>
      </c>
      <c r="F104" s="759"/>
      <c r="H104" s="623"/>
      <c r="J104" s="819"/>
    </row>
    <row r="105" spans="1:10" ht="19.5" customHeight="1" thickBot="1" x14ac:dyDescent="0.35">
      <c r="C105" s="794" t="s">
        <v>19</v>
      </c>
      <c r="D105" s="821">
        <f>COUNT(E91:E94,G91:G94)</f>
        <v>6</v>
      </c>
      <c r="F105" s="759"/>
      <c r="H105" s="623"/>
      <c r="J105" s="819"/>
    </row>
    <row r="106" spans="1:10" ht="19.5" customHeight="1" thickBot="1" x14ac:dyDescent="0.35">
      <c r="A106" s="763"/>
      <c r="B106" s="763"/>
      <c r="C106" s="763"/>
      <c r="D106" s="763"/>
      <c r="E106" s="763"/>
    </row>
    <row r="107" spans="1:10" ht="26.25" customHeight="1" x14ac:dyDescent="0.4">
      <c r="A107" s="714" t="s">
        <v>117</v>
      </c>
      <c r="B107" s="715">
        <v>900</v>
      </c>
      <c r="C107" s="797" t="s">
        <v>118</v>
      </c>
      <c r="D107" s="822" t="s">
        <v>62</v>
      </c>
      <c r="E107" s="823" t="s">
        <v>119</v>
      </c>
      <c r="F107" s="824" t="s">
        <v>120</v>
      </c>
    </row>
    <row r="108" spans="1:10" ht="26.25" customHeight="1" x14ac:dyDescent="0.4">
      <c r="A108" s="716" t="s">
        <v>121</v>
      </c>
      <c r="B108" s="717">
        <v>1</v>
      </c>
      <c r="C108" s="825">
        <v>1</v>
      </c>
      <c r="D108" s="826">
        <v>2685503</v>
      </c>
      <c r="E108" s="827">
        <f t="shared" ref="E108:E113" si="1">IF(ISBLANK(D108),"-",D108/$D$103*$D$100*$B$116)</f>
        <v>249.73157522561803</v>
      </c>
      <c r="F108" s="828">
        <f t="shared" ref="F108:F113" si="2">IF(ISBLANK(D108), "-", E108/$B$56)</f>
        <v>0.90811481900224733</v>
      </c>
    </row>
    <row r="109" spans="1:10" ht="26.25" customHeight="1" x14ac:dyDescent="0.4">
      <c r="A109" s="716" t="s">
        <v>94</v>
      </c>
      <c r="B109" s="717">
        <v>1</v>
      </c>
      <c r="C109" s="825">
        <v>2</v>
      </c>
      <c r="D109" s="826">
        <v>2683346</v>
      </c>
      <c r="E109" s="829">
        <f t="shared" si="1"/>
        <v>249.53099045331965</v>
      </c>
      <c r="F109" s="830">
        <f t="shared" si="2"/>
        <v>0.90738541983025323</v>
      </c>
    </row>
    <row r="110" spans="1:10" ht="26.25" customHeight="1" x14ac:dyDescent="0.4">
      <c r="A110" s="716" t="s">
        <v>95</v>
      </c>
      <c r="B110" s="717">
        <v>1</v>
      </c>
      <c r="C110" s="825">
        <v>3</v>
      </c>
      <c r="D110" s="826">
        <v>2655113</v>
      </c>
      <c r="E110" s="829">
        <f t="shared" si="1"/>
        <v>246.90553385790909</v>
      </c>
      <c r="F110" s="830">
        <f t="shared" si="2"/>
        <v>0.89783830493785122</v>
      </c>
    </row>
    <row r="111" spans="1:10" ht="26.25" customHeight="1" x14ac:dyDescent="0.4">
      <c r="A111" s="716" t="s">
        <v>96</v>
      </c>
      <c r="B111" s="717">
        <v>1</v>
      </c>
      <c r="C111" s="825">
        <v>4</v>
      </c>
      <c r="D111" s="826">
        <v>2668301</v>
      </c>
      <c r="E111" s="829">
        <f t="shared" si="1"/>
        <v>248.13191864097411</v>
      </c>
      <c r="F111" s="830">
        <f t="shared" si="2"/>
        <v>0.90229788596717853</v>
      </c>
    </row>
    <row r="112" spans="1:10" ht="26.25" customHeight="1" x14ac:dyDescent="0.4">
      <c r="A112" s="716" t="s">
        <v>97</v>
      </c>
      <c r="B112" s="717">
        <v>1</v>
      </c>
      <c r="C112" s="825">
        <v>5</v>
      </c>
      <c r="D112" s="826">
        <v>2658329</v>
      </c>
      <c r="E112" s="829">
        <f t="shared" si="1"/>
        <v>247.20459766306053</v>
      </c>
      <c r="F112" s="830">
        <f t="shared" si="2"/>
        <v>0.89892580968385649</v>
      </c>
    </row>
    <row r="113" spans="1:10" ht="26.25" customHeight="1" x14ac:dyDescent="0.4">
      <c r="A113" s="716" t="s">
        <v>99</v>
      </c>
      <c r="B113" s="717">
        <v>1</v>
      </c>
      <c r="C113" s="831">
        <v>6</v>
      </c>
      <c r="D113" s="832">
        <v>2663674</v>
      </c>
      <c r="E113" s="833">
        <f t="shared" si="1"/>
        <v>247.701642451162</v>
      </c>
      <c r="F113" s="834">
        <f t="shared" si="2"/>
        <v>0.90073324527695275</v>
      </c>
    </row>
    <row r="114" spans="1:10" ht="26.25" customHeight="1" x14ac:dyDescent="0.4">
      <c r="A114" s="716" t="s">
        <v>100</v>
      </c>
      <c r="B114" s="717">
        <v>1</v>
      </c>
      <c r="C114" s="825"/>
      <c r="D114" s="745"/>
      <c r="E114" s="690"/>
      <c r="F114" s="835"/>
    </row>
    <row r="115" spans="1:10" ht="26.25" customHeight="1" x14ac:dyDescent="0.4">
      <c r="A115" s="716" t="s">
        <v>101</v>
      </c>
      <c r="B115" s="717">
        <v>1</v>
      </c>
      <c r="C115" s="825"/>
      <c r="D115" s="836" t="s">
        <v>70</v>
      </c>
      <c r="E115" s="837">
        <f>AVERAGE(E108:E113)</f>
        <v>248.20104304867391</v>
      </c>
      <c r="F115" s="838">
        <f>AVERAGE(F108:F113)</f>
        <v>0.90254924744972309</v>
      </c>
    </row>
    <row r="116" spans="1:10" ht="27" customHeight="1" thickBot="1" x14ac:dyDescent="0.45">
      <c r="A116" s="716" t="s">
        <v>102</v>
      </c>
      <c r="B116" s="728">
        <f>(B115/B114)*(B113/B112)*(B111/B110)*(B109/B108)*B107</f>
        <v>900</v>
      </c>
      <c r="C116" s="839"/>
      <c r="D116" s="701" t="s">
        <v>83</v>
      </c>
      <c r="E116" s="840">
        <f>STDEV(E108:E113)/E115</f>
        <v>4.7796532441122582E-3</v>
      </c>
      <c r="F116" s="840">
        <f>STDEV(F108:F113)/F115</f>
        <v>4.7796532441122348E-3</v>
      </c>
      <c r="I116" s="690"/>
    </row>
    <row r="117" spans="1:10" ht="27" customHeight="1" thickBot="1" x14ac:dyDescent="0.45">
      <c r="A117" s="854" t="s">
        <v>77</v>
      </c>
      <c r="B117" s="858"/>
      <c r="C117" s="841"/>
      <c r="D117" s="842" t="s">
        <v>19</v>
      </c>
      <c r="E117" s="843">
        <f>COUNT(E108:E113)</f>
        <v>6</v>
      </c>
      <c r="F117" s="843">
        <f>COUNT(F108:F113)</f>
        <v>6</v>
      </c>
      <c r="I117" s="690"/>
      <c r="J117" s="819"/>
    </row>
    <row r="118" spans="1:10" ht="19.5" customHeight="1" thickBot="1" x14ac:dyDescent="0.35">
      <c r="A118" s="856"/>
      <c r="B118" s="859"/>
      <c r="C118" s="690"/>
      <c r="D118" s="690"/>
      <c r="E118" s="690"/>
      <c r="F118" s="745"/>
      <c r="G118" s="690"/>
      <c r="H118" s="690"/>
      <c r="I118" s="690"/>
    </row>
    <row r="119" spans="1:10" ht="18.75" x14ac:dyDescent="0.3">
      <c r="A119" s="844"/>
      <c r="B119" s="712"/>
      <c r="C119" s="690"/>
      <c r="D119" s="690"/>
      <c r="E119" s="690"/>
      <c r="F119" s="745"/>
      <c r="G119" s="690"/>
      <c r="H119" s="690"/>
      <c r="I119" s="690"/>
    </row>
    <row r="120" spans="1:10" ht="26.25" customHeight="1" x14ac:dyDescent="0.4">
      <c r="A120" s="700" t="s">
        <v>105</v>
      </c>
      <c r="B120" s="701" t="s">
        <v>122</v>
      </c>
      <c r="C120" s="860" t="str">
        <f>B20</f>
        <v>ETHAMBUTOL HCl</v>
      </c>
      <c r="D120" s="860"/>
      <c r="E120" s="690" t="s">
        <v>123</v>
      </c>
      <c r="F120" s="690"/>
      <c r="G120" s="796">
        <f>F115</f>
        <v>0.90254924744972309</v>
      </c>
      <c r="H120" s="690"/>
      <c r="I120" s="690"/>
    </row>
    <row r="121" spans="1:10" ht="19.5" customHeight="1" thickBot="1" x14ac:dyDescent="0.35">
      <c r="A121" s="845"/>
      <c r="B121" s="845"/>
      <c r="C121" s="846"/>
      <c r="D121" s="846"/>
      <c r="E121" s="846"/>
      <c r="F121" s="846"/>
      <c r="G121" s="846"/>
      <c r="H121" s="846"/>
    </row>
    <row r="122" spans="1:10" ht="18.75" x14ac:dyDescent="0.3">
      <c r="B122" s="861" t="s">
        <v>25</v>
      </c>
      <c r="C122" s="861"/>
      <c r="E122" s="799" t="s">
        <v>26</v>
      </c>
      <c r="F122" s="847"/>
      <c r="G122" s="861" t="s">
        <v>27</v>
      </c>
      <c r="H122" s="861"/>
    </row>
    <row r="123" spans="1:10" ht="69.95" customHeight="1" x14ac:dyDescent="0.3">
      <c r="A123" s="700" t="s">
        <v>28</v>
      </c>
      <c r="B123" s="848"/>
      <c r="C123" s="848"/>
      <c r="E123" s="848"/>
      <c r="F123" s="690"/>
      <c r="G123" s="848"/>
      <c r="H123" s="848"/>
    </row>
    <row r="124" spans="1:10" ht="69.95" customHeight="1" x14ac:dyDescent="0.3">
      <c r="A124" s="700" t="s">
        <v>29</v>
      </c>
      <c r="B124" s="849"/>
      <c r="C124" s="849"/>
      <c r="E124" s="849"/>
      <c r="F124" s="690"/>
      <c r="G124" s="850"/>
      <c r="H124" s="850"/>
    </row>
    <row r="125" spans="1:10" ht="18.75" x14ac:dyDescent="0.3">
      <c r="A125" s="745"/>
      <c r="B125" s="745"/>
      <c r="C125" s="745"/>
      <c r="D125" s="745"/>
      <c r="E125" s="745"/>
      <c r="F125" s="747"/>
      <c r="G125" s="745"/>
      <c r="H125" s="745"/>
      <c r="I125" s="690"/>
    </row>
    <row r="126" spans="1:10" ht="18.75" x14ac:dyDescent="0.3">
      <c r="A126" s="745"/>
      <c r="B126" s="745"/>
      <c r="C126" s="745"/>
      <c r="D126" s="745"/>
      <c r="E126" s="745"/>
      <c r="F126" s="747"/>
      <c r="G126" s="745"/>
      <c r="H126" s="745"/>
      <c r="I126" s="690"/>
    </row>
    <row r="127" spans="1:10" ht="18.75" x14ac:dyDescent="0.3">
      <c r="A127" s="745"/>
      <c r="B127" s="745"/>
      <c r="C127" s="745"/>
      <c r="D127" s="745"/>
      <c r="E127" s="745"/>
      <c r="F127" s="747"/>
      <c r="G127" s="745"/>
      <c r="H127" s="745"/>
      <c r="I127" s="690"/>
    </row>
    <row r="128" spans="1:10" ht="18.75" x14ac:dyDescent="0.3">
      <c r="A128" s="745"/>
      <c r="B128" s="745"/>
      <c r="C128" s="745"/>
      <c r="D128" s="745"/>
      <c r="E128" s="745"/>
      <c r="F128" s="747"/>
      <c r="G128" s="745"/>
      <c r="H128" s="745"/>
      <c r="I128" s="690"/>
    </row>
    <row r="129" spans="1:9" ht="18.75" x14ac:dyDescent="0.3">
      <c r="A129" s="745"/>
      <c r="B129" s="745"/>
      <c r="C129" s="745"/>
      <c r="D129" s="745"/>
      <c r="E129" s="745"/>
      <c r="F129" s="747"/>
      <c r="G129" s="745"/>
      <c r="H129" s="745"/>
      <c r="I129" s="690"/>
    </row>
    <row r="130" spans="1:9" ht="18.75" x14ac:dyDescent="0.3">
      <c r="A130" s="745"/>
      <c r="B130" s="745"/>
      <c r="C130" s="745"/>
      <c r="D130" s="745"/>
      <c r="E130" s="745"/>
      <c r="F130" s="747"/>
      <c r="G130" s="745"/>
      <c r="H130" s="745"/>
      <c r="I130" s="690"/>
    </row>
    <row r="131" spans="1:9" ht="18.75" x14ac:dyDescent="0.3">
      <c r="A131" s="745"/>
      <c r="B131" s="745"/>
      <c r="C131" s="745"/>
      <c r="D131" s="745"/>
      <c r="E131" s="745"/>
      <c r="F131" s="747"/>
      <c r="G131" s="745"/>
      <c r="H131" s="745"/>
      <c r="I131" s="690"/>
    </row>
    <row r="132" spans="1:9" ht="18.75" x14ac:dyDescent="0.3">
      <c r="A132" s="745"/>
      <c r="B132" s="745"/>
      <c r="C132" s="745"/>
      <c r="D132" s="745"/>
      <c r="E132" s="745"/>
      <c r="F132" s="747"/>
      <c r="G132" s="745"/>
      <c r="H132" s="745"/>
      <c r="I132" s="690"/>
    </row>
    <row r="133" spans="1:9" ht="18.75" x14ac:dyDescent="0.3">
      <c r="A133" s="745"/>
      <c r="B133" s="745"/>
      <c r="C133" s="745"/>
      <c r="D133" s="745"/>
      <c r="E133" s="745"/>
      <c r="F133" s="747"/>
      <c r="G133" s="745"/>
      <c r="H133" s="745"/>
      <c r="I133" s="690"/>
    </row>
    <row r="250" spans="1:1" x14ac:dyDescent="0.25">
      <c r="A250" s="65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4" sqref="C44"/>
    </sheetView>
  </sheetViews>
  <sheetFormatPr defaultRowHeight="15" x14ac:dyDescent="0.3"/>
  <cols>
    <col min="1" max="1" width="15.5703125" style="610" customWidth="1"/>
    <col min="2" max="2" width="18.42578125" style="610" customWidth="1"/>
    <col min="3" max="3" width="14.28515625" style="610" customWidth="1"/>
    <col min="4" max="4" width="15" style="610" customWidth="1"/>
    <col min="5" max="5" width="9.140625" style="610" customWidth="1"/>
    <col min="6" max="6" width="27.85546875" style="610" customWidth="1"/>
    <col min="7" max="7" width="12.28515625" style="610" customWidth="1"/>
    <col min="8" max="8" width="9.140625" style="610" customWidth="1"/>
    <col min="9" max="16384" width="9.140625" style="611"/>
  </cols>
  <sheetData>
    <row r="10" spans="1:7" ht="13.5" customHeight="1" thickBot="1" x14ac:dyDescent="0.35"/>
    <row r="11" spans="1:7" ht="13.5" customHeight="1" thickBot="1" x14ac:dyDescent="0.35">
      <c r="A11" s="894" t="s">
        <v>30</v>
      </c>
      <c r="B11" s="895"/>
      <c r="C11" s="895"/>
      <c r="D11" s="895"/>
      <c r="E11" s="895"/>
      <c r="F11" s="896"/>
      <c r="G11" s="612"/>
    </row>
    <row r="12" spans="1:7" ht="16.5" customHeight="1" x14ac:dyDescent="0.3">
      <c r="A12" s="897" t="s">
        <v>31</v>
      </c>
      <c r="B12" s="897"/>
      <c r="C12" s="897"/>
      <c r="D12" s="897"/>
      <c r="E12" s="897"/>
      <c r="F12" s="897"/>
      <c r="G12" s="613"/>
    </row>
    <row r="14" spans="1:7" ht="16.5" customHeight="1" x14ac:dyDescent="0.3">
      <c r="A14" s="898" t="s">
        <v>32</v>
      </c>
      <c r="B14" s="898"/>
      <c r="C14" s="614" t="s">
        <v>5</v>
      </c>
    </row>
    <row r="15" spans="1:7" ht="16.5" customHeight="1" x14ac:dyDescent="0.3">
      <c r="A15" s="898" t="s">
        <v>33</v>
      </c>
      <c r="B15" s="898"/>
      <c r="C15" s="614" t="s">
        <v>139</v>
      </c>
    </row>
    <row r="16" spans="1:7" ht="16.5" customHeight="1" x14ac:dyDescent="0.3">
      <c r="A16" s="898" t="s">
        <v>34</v>
      </c>
      <c r="B16" s="898"/>
      <c r="C16" s="614" t="s">
        <v>8</v>
      </c>
    </row>
    <row r="17" spans="1:5" ht="16.5" customHeight="1" x14ac:dyDescent="0.3">
      <c r="A17" s="898" t="s">
        <v>35</v>
      </c>
      <c r="B17" s="898"/>
      <c r="C17" s="614" t="s">
        <v>10</v>
      </c>
    </row>
    <row r="18" spans="1:5" ht="16.5" customHeight="1" x14ac:dyDescent="0.3">
      <c r="A18" s="898" t="s">
        <v>36</v>
      </c>
      <c r="B18" s="898"/>
      <c r="C18" s="615" t="s">
        <v>140</v>
      </c>
    </row>
    <row r="19" spans="1:5" ht="16.5" customHeight="1" x14ac:dyDescent="0.3">
      <c r="A19" s="898" t="s">
        <v>37</v>
      </c>
      <c r="B19" s="898"/>
      <c r="C19" s="615" t="e">
        <f>#REF!</f>
        <v>#REF!</v>
      </c>
    </row>
    <row r="20" spans="1:5" ht="16.5" customHeight="1" x14ac:dyDescent="0.3">
      <c r="A20" s="616"/>
      <c r="B20" s="616"/>
      <c r="C20" s="617"/>
    </row>
    <row r="21" spans="1:5" ht="16.5" customHeight="1" x14ac:dyDescent="0.3">
      <c r="A21" s="897" t="s">
        <v>1</v>
      </c>
      <c r="B21" s="897"/>
      <c r="C21" s="618" t="s">
        <v>38</v>
      </c>
      <c r="D21" s="619"/>
    </row>
    <row r="22" spans="1:5" ht="15.75" customHeight="1" thickBot="1" x14ac:dyDescent="0.35">
      <c r="A22" s="899"/>
      <c r="B22" s="899"/>
      <c r="C22" s="620"/>
      <c r="D22" s="899"/>
      <c r="E22" s="899"/>
    </row>
    <row r="23" spans="1:5" ht="33.75" customHeight="1" thickBot="1" x14ac:dyDescent="0.35">
      <c r="C23" s="621" t="s">
        <v>39</v>
      </c>
      <c r="D23" s="622" t="s">
        <v>40</v>
      </c>
      <c r="E23" s="623"/>
    </row>
    <row r="24" spans="1:5" ht="15.75" customHeight="1" x14ac:dyDescent="0.3">
      <c r="C24" s="624">
        <v>1254.69</v>
      </c>
      <c r="D24" s="625">
        <f t="shared" ref="D24:D43" si="0">(C24-$C$46)/$C$46</f>
        <v>-5.9029095259851413E-3</v>
      </c>
      <c r="E24" s="626"/>
    </row>
    <row r="25" spans="1:5" ht="15.75" customHeight="1" x14ac:dyDescent="0.3">
      <c r="C25" s="624">
        <v>1260.7</v>
      </c>
      <c r="D25" s="627">
        <f t="shared" si="0"/>
        <v>-1.1411568111720639E-3</v>
      </c>
      <c r="E25" s="626"/>
    </row>
    <row r="26" spans="1:5" ht="15.75" customHeight="1" x14ac:dyDescent="0.3">
      <c r="C26" s="624">
        <v>1265.82</v>
      </c>
      <c r="D26" s="627">
        <f t="shared" si="0"/>
        <v>2.915444503277599E-3</v>
      </c>
      <c r="E26" s="626"/>
    </row>
    <row r="27" spans="1:5" ht="15.75" customHeight="1" x14ac:dyDescent="0.3">
      <c r="C27" s="624">
        <v>1267.44</v>
      </c>
      <c r="D27" s="627">
        <f t="shared" si="0"/>
        <v>4.1989785129278086E-3</v>
      </c>
      <c r="E27" s="626"/>
    </row>
    <row r="28" spans="1:5" ht="15.75" customHeight="1" x14ac:dyDescent="0.3">
      <c r="C28" s="624">
        <v>1254.3399999999999</v>
      </c>
      <c r="D28" s="627">
        <f t="shared" si="0"/>
        <v>-6.1802162564652124E-3</v>
      </c>
      <c r="E28" s="626"/>
    </row>
    <row r="29" spans="1:5" ht="15.75" customHeight="1" x14ac:dyDescent="0.3">
      <c r="C29" s="624">
        <v>1270.57</v>
      </c>
      <c r="D29" s="627">
        <f t="shared" si="0"/>
        <v>6.6788929883628157E-3</v>
      </c>
      <c r="E29" s="626"/>
    </row>
    <row r="30" spans="1:5" ht="15.75" customHeight="1" x14ac:dyDescent="0.3">
      <c r="C30" s="624">
        <v>1265.8900000000001</v>
      </c>
      <c r="D30" s="627">
        <f t="shared" si="0"/>
        <v>2.9709058493737213E-3</v>
      </c>
      <c r="E30" s="626"/>
    </row>
    <row r="31" spans="1:5" ht="15.75" customHeight="1" x14ac:dyDescent="0.3">
      <c r="C31" s="624">
        <v>1256.8499999999999</v>
      </c>
      <c r="D31" s="627">
        <f t="shared" si="0"/>
        <v>-4.1915308464517687E-3</v>
      </c>
      <c r="E31" s="626"/>
    </row>
    <row r="32" spans="1:5" ht="15.75" customHeight="1" x14ac:dyDescent="0.3">
      <c r="C32" s="624">
        <v>1248.24</v>
      </c>
      <c r="D32" s="627">
        <f t="shared" si="0"/>
        <v>-1.1013276416258787E-2</v>
      </c>
      <c r="E32" s="626"/>
    </row>
    <row r="33" spans="1:7" ht="15.75" customHeight="1" x14ac:dyDescent="0.3">
      <c r="C33" s="624">
        <v>1256.7</v>
      </c>
      <c r="D33" s="627">
        <f t="shared" si="0"/>
        <v>-4.3103765880859301E-3</v>
      </c>
      <c r="E33" s="626"/>
    </row>
    <row r="34" spans="1:7" ht="15.75" customHeight="1" x14ac:dyDescent="0.3">
      <c r="C34" s="624">
        <v>1257.99</v>
      </c>
      <c r="D34" s="627">
        <f t="shared" si="0"/>
        <v>-3.2883032100312374E-3</v>
      </c>
      <c r="E34" s="626"/>
    </row>
    <row r="35" spans="1:7" ht="15.75" customHeight="1" x14ac:dyDescent="0.3">
      <c r="C35" s="624">
        <v>1260.95</v>
      </c>
      <c r="D35" s="627">
        <f t="shared" si="0"/>
        <v>-9.4308057511494731E-4</v>
      </c>
      <c r="E35" s="626"/>
    </row>
    <row r="36" spans="1:7" ht="15.75" customHeight="1" x14ac:dyDescent="0.3">
      <c r="C36" s="624">
        <v>1271.9000000000001</v>
      </c>
      <c r="D36" s="627">
        <f t="shared" si="0"/>
        <v>7.7326585641867987E-3</v>
      </c>
      <c r="E36" s="626"/>
    </row>
    <row r="37" spans="1:7" ht="15.75" customHeight="1" x14ac:dyDescent="0.3">
      <c r="C37" s="624">
        <v>1247.44</v>
      </c>
      <c r="D37" s="627">
        <f t="shared" si="0"/>
        <v>-1.1647120371641525E-2</v>
      </c>
      <c r="E37" s="626"/>
    </row>
    <row r="38" spans="1:7" ht="15.75" customHeight="1" x14ac:dyDescent="0.3">
      <c r="C38" s="624">
        <v>1268.53</v>
      </c>
      <c r="D38" s="627">
        <f t="shared" si="0"/>
        <v>5.062590902136772E-3</v>
      </c>
      <c r="E38" s="626"/>
    </row>
    <row r="39" spans="1:7" ht="15.75" customHeight="1" x14ac:dyDescent="0.3">
      <c r="C39" s="624">
        <v>1264.5899999999999</v>
      </c>
      <c r="D39" s="627">
        <f t="shared" si="0"/>
        <v>1.9409094218765703E-3</v>
      </c>
      <c r="E39" s="626"/>
    </row>
    <row r="40" spans="1:7" ht="15.75" customHeight="1" x14ac:dyDescent="0.3">
      <c r="C40" s="624">
        <v>1254.5999999999999</v>
      </c>
      <c r="D40" s="627">
        <f t="shared" si="0"/>
        <v>-5.9742169709658182E-3</v>
      </c>
      <c r="E40" s="626"/>
    </row>
    <row r="41" spans="1:7" ht="15.75" customHeight="1" x14ac:dyDescent="0.3">
      <c r="C41" s="624">
        <v>1274.636</v>
      </c>
      <c r="D41" s="627">
        <f t="shared" si="0"/>
        <v>9.9004048915957849E-3</v>
      </c>
      <c r="E41" s="626"/>
    </row>
    <row r="42" spans="1:7" ht="15.75" customHeight="1" x14ac:dyDescent="0.3">
      <c r="C42" s="624">
        <v>1267.01</v>
      </c>
      <c r="D42" s="627">
        <f t="shared" si="0"/>
        <v>3.8582873869095172E-3</v>
      </c>
      <c r="E42" s="626"/>
    </row>
    <row r="43" spans="1:7" ht="16.5" customHeight="1" thickBot="1" x14ac:dyDescent="0.35">
      <c r="C43" s="628">
        <v>1273.92</v>
      </c>
      <c r="D43" s="629">
        <f t="shared" si="0"/>
        <v>9.3331145515282866E-3</v>
      </c>
      <c r="E43" s="626"/>
    </row>
    <row r="44" spans="1:7" ht="16.5" customHeight="1" thickBot="1" x14ac:dyDescent="0.35">
      <c r="C44" s="630"/>
      <c r="D44" s="626"/>
      <c r="E44" s="631"/>
    </row>
    <row r="45" spans="1:7" ht="16.5" customHeight="1" thickBot="1" x14ac:dyDescent="0.35">
      <c r="B45" s="632" t="s">
        <v>41</v>
      </c>
      <c r="C45" s="633">
        <f>SUM(C24:C44)</f>
        <v>25242.805999999997</v>
      </c>
      <c r="D45" s="634"/>
      <c r="E45" s="630"/>
    </row>
    <row r="46" spans="1:7" ht="17.25" customHeight="1" thickBot="1" x14ac:dyDescent="0.35">
      <c r="B46" s="632" t="s">
        <v>42</v>
      </c>
      <c r="C46" s="635">
        <f>AVERAGE(C24:C44)</f>
        <v>1262.1402999999998</v>
      </c>
      <c r="E46" s="636"/>
    </row>
    <row r="47" spans="1:7" ht="17.25" customHeight="1" thickBot="1" x14ac:dyDescent="0.35">
      <c r="A47" s="614"/>
      <c r="B47" s="637"/>
      <c r="D47" s="638"/>
      <c r="E47" s="636"/>
    </row>
    <row r="48" spans="1:7" ht="33.75" customHeight="1" thickBot="1" x14ac:dyDescent="0.35">
      <c r="B48" s="639" t="s">
        <v>42</v>
      </c>
      <c r="C48" s="622" t="s">
        <v>43</v>
      </c>
      <c r="D48" s="640"/>
      <c r="G48" s="638"/>
    </row>
    <row r="49" spans="1:6" ht="17.25" customHeight="1" thickBot="1" x14ac:dyDescent="0.35">
      <c r="B49" s="892">
        <f>C46</f>
        <v>1262.1402999999998</v>
      </c>
      <c r="C49" s="641">
        <f>-IF(C46&lt;=80,10%,IF(C46&lt;250,7.5%,5%))</f>
        <v>-0.05</v>
      </c>
      <c r="D49" s="642">
        <f>IF(C46&lt;=80,C46*0.9,IF(C46&lt;250,C46*0.925,C46*0.95))</f>
        <v>1199.0332849999998</v>
      </c>
    </row>
    <row r="50" spans="1:6" ht="17.25" customHeight="1" thickBot="1" x14ac:dyDescent="0.35">
      <c r="B50" s="893"/>
      <c r="C50" s="643">
        <f>IF(C46&lt;=80, 10%, IF(C46&lt;250, 7.5%, 5%))</f>
        <v>0.05</v>
      </c>
      <c r="D50" s="642">
        <f>IF(C46&lt;=80, C46*1.1, IF(C46&lt;250, C46*1.075, C46*1.05))</f>
        <v>1325.2473149999998</v>
      </c>
    </row>
    <row r="51" spans="1:6" ht="16.5" customHeight="1" thickBot="1" x14ac:dyDescent="0.35">
      <c r="A51" s="644"/>
      <c r="B51" s="645"/>
      <c r="C51" s="614"/>
      <c r="D51" s="646"/>
      <c r="E51" s="614"/>
      <c r="F51" s="619"/>
    </row>
    <row r="52" spans="1:6" ht="16.5" customHeight="1" x14ac:dyDescent="0.3">
      <c r="A52" s="614"/>
      <c r="B52" s="647" t="s">
        <v>25</v>
      </c>
      <c r="C52" s="647"/>
      <c r="D52" s="648" t="s">
        <v>26</v>
      </c>
      <c r="E52" s="649"/>
      <c r="F52" s="648" t="s">
        <v>27</v>
      </c>
    </row>
    <row r="53" spans="1:6" ht="34.5" customHeight="1" x14ac:dyDescent="0.3">
      <c r="A53" s="616" t="s">
        <v>28</v>
      </c>
      <c r="B53" s="650"/>
      <c r="C53" s="614"/>
      <c r="D53" s="650"/>
      <c r="E53" s="614"/>
      <c r="F53" s="650"/>
    </row>
    <row r="54" spans="1:6" ht="34.5" customHeight="1" x14ac:dyDescent="0.3">
      <c r="A54" s="616" t="s">
        <v>29</v>
      </c>
      <c r="B54" s="651"/>
      <c r="C54" s="652"/>
      <c r="D54" s="651"/>
      <c r="E54" s="614"/>
      <c r="F54" s="653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7" zoomScale="60" zoomScaleNormal="40" zoomScalePageLayoutView="60" workbookViewId="0">
      <selection activeCell="G101" sqref="G10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8" t="s">
        <v>44</v>
      </c>
      <c r="B1" s="928"/>
      <c r="C1" s="928"/>
      <c r="D1" s="928"/>
      <c r="E1" s="928"/>
      <c r="F1" s="928"/>
      <c r="G1" s="928"/>
      <c r="H1" s="928"/>
      <c r="I1" s="928"/>
    </row>
    <row r="2" spans="1:9" ht="18.75" customHeight="1" x14ac:dyDescent="0.25">
      <c r="A2" s="928"/>
      <c r="B2" s="928"/>
      <c r="C2" s="928"/>
      <c r="D2" s="928"/>
      <c r="E2" s="928"/>
      <c r="F2" s="928"/>
      <c r="G2" s="928"/>
      <c r="H2" s="928"/>
      <c r="I2" s="928"/>
    </row>
    <row r="3" spans="1:9" ht="18.75" customHeight="1" x14ac:dyDescent="0.25">
      <c r="A3" s="928"/>
      <c r="B3" s="928"/>
      <c r="C3" s="928"/>
      <c r="D3" s="928"/>
      <c r="E3" s="928"/>
      <c r="F3" s="928"/>
      <c r="G3" s="928"/>
      <c r="H3" s="928"/>
      <c r="I3" s="928"/>
    </row>
    <row r="4" spans="1:9" ht="18.75" customHeight="1" x14ac:dyDescent="0.25">
      <c r="A4" s="928"/>
      <c r="B4" s="928"/>
      <c r="C4" s="928"/>
      <c r="D4" s="928"/>
      <c r="E4" s="928"/>
      <c r="F4" s="928"/>
      <c r="G4" s="928"/>
      <c r="H4" s="928"/>
      <c r="I4" s="928"/>
    </row>
    <row r="5" spans="1:9" ht="18.75" customHeight="1" x14ac:dyDescent="0.25">
      <c r="A5" s="928"/>
      <c r="B5" s="928"/>
      <c r="C5" s="928"/>
      <c r="D5" s="928"/>
      <c r="E5" s="928"/>
      <c r="F5" s="928"/>
      <c r="G5" s="928"/>
      <c r="H5" s="928"/>
      <c r="I5" s="928"/>
    </row>
    <row r="6" spans="1:9" ht="18.75" customHeight="1" x14ac:dyDescent="0.25">
      <c r="A6" s="928"/>
      <c r="B6" s="928"/>
      <c r="C6" s="928"/>
      <c r="D6" s="928"/>
      <c r="E6" s="928"/>
      <c r="F6" s="928"/>
      <c r="G6" s="928"/>
      <c r="H6" s="928"/>
      <c r="I6" s="928"/>
    </row>
    <row r="7" spans="1:9" ht="18.75" customHeight="1" x14ac:dyDescent="0.25">
      <c r="A7" s="928"/>
      <c r="B7" s="928"/>
      <c r="C7" s="928"/>
      <c r="D7" s="928"/>
      <c r="E7" s="928"/>
      <c r="F7" s="928"/>
      <c r="G7" s="928"/>
      <c r="H7" s="928"/>
      <c r="I7" s="928"/>
    </row>
    <row r="8" spans="1:9" x14ac:dyDescent="0.25">
      <c r="A8" s="929" t="s">
        <v>45</v>
      </c>
      <c r="B8" s="929"/>
      <c r="C8" s="929"/>
      <c r="D8" s="929"/>
      <c r="E8" s="929"/>
      <c r="F8" s="929"/>
      <c r="G8" s="929"/>
      <c r="H8" s="929"/>
      <c r="I8" s="929"/>
    </row>
    <row r="9" spans="1:9" x14ac:dyDescent="0.25">
      <c r="A9" s="929"/>
      <c r="B9" s="929"/>
      <c r="C9" s="929"/>
      <c r="D9" s="929"/>
      <c r="E9" s="929"/>
      <c r="F9" s="929"/>
      <c r="G9" s="929"/>
      <c r="H9" s="929"/>
      <c r="I9" s="929"/>
    </row>
    <row r="10" spans="1:9" x14ac:dyDescent="0.25">
      <c r="A10" s="929"/>
      <c r="B10" s="929"/>
      <c r="C10" s="929"/>
      <c r="D10" s="929"/>
      <c r="E10" s="929"/>
      <c r="F10" s="929"/>
      <c r="G10" s="929"/>
      <c r="H10" s="929"/>
      <c r="I10" s="929"/>
    </row>
    <row r="11" spans="1:9" x14ac:dyDescent="0.25">
      <c r="A11" s="929"/>
      <c r="B11" s="929"/>
      <c r="C11" s="929"/>
      <c r="D11" s="929"/>
      <c r="E11" s="929"/>
      <c r="F11" s="929"/>
      <c r="G11" s="929"/>
      <c r="H11" s="929"/>
      <c r="I11" s="929"/>
    </row>
    <row r="12" spans="1:9" x14ac:dyDescent="0.25">
      <c r="A12" s="929"/>
      <c r="B12" s="929"/>
      <c r="C12" s="929"/>
      <c r="D12" s="929"/>
      <c r="E12" s="929"/>
      <c r="F12" s="929"/>
      <c r="G12" s="929"/>
      <c r="H12" s="929"/>
      <c r="I12" s="929"/>
    </row>
    <row r="13" spans="1:9" x14ac:dyDescent="0.25">
      <c r="A13" s="929"/>
      <c r="B13" s="929"/>
      <c r="C13" s="929"/>
      <c r="D13" s="929"/>
      <c r="E13" s="929"/>
      <c r="F13" s="929"/>
      <c r="G13" s="929"/>
      <c r="H13" s="929"/>
      <c r="I13" s="929"/>
    </row>
    <row r="14" spans="1:9" x14ac:dyDescent="0.25">
      <c r="A14" s="929"/>
      <c r="B14" s="929"/>
      <c r="C14" s="929"/>
      <c r="D14" s="929"/>
      <c r="E14" s="929"/>
      <c r="F14" s="929"/>
      <c r="G14" s="929"/>
      <c r="H14" s="929"/>
      <c r="I14" s="929"/>
    </row>
    <row r="15" spans="1:9" ht="19.5" customHeight="1" x14ac:dyDescent="0.3">
      <c r="A15" s="57"/>
    </row>
    <row r="16" spans="1:9" ht="19.5" customHeight="1" x14ac:dyDescent="0.3">
      <c r="A16" s="901" t="s">
        <v>30</v>
      </c>
      <c r="B16" s="902"/>
      <c r="C16" s="902"/>
      <c r="D16" s="902"/>
      <c r="E16" s="902"/>
      <c r="F16" s="902"/>
      <c r="G16" s="902"/>
      <c r="H16" s="903"/>
    </row>
    <row r="17" spans="1:14" ht="20.25" customHeight="1" x14ac:dyDescent="0.25">
      <c r="A17" s="904" t="s">
        <v>46</v>
      </c>
      <c r="B17" s="904"/>
      <c r="C17" s="904"/>
      <c r="D17" s="904"/>
      <c r="E17" s="904"/>
      <c r="F17" s="904"/>
      <c r="G17" s="904"/>
      <c r="H17" s="904"/>
    </row>
    <row r="18" spans="1:14" ht="26.25" customHeight="1" x14ac:dyDescent="0.4">
      <c r="A18" s="59" t="s">
        <v>32</v>
      </c>
      <c r="B18" s="900" t="s">
        <v>5</v>
      </c>
      <c r="C18" s="900"/>
      <c r="D18" s="224"/>
      <c r="E18" s="60"/>
      <c r="F18" s="61"/>
      <c r="G18" s="61"/>
      <c r="H18" s="61"/>
    </row>
    <row r="19" spans="1:14" ht="26.25" customHeight="1" x14ac:dyDescent="0.4">
      <c r="A19" s="59" t="s">
        <v>33</v>
      </c>
      <c r="B19" s="608" t="s">
        <v>138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34</v>
      </c>
      <c r="B20" s="905" t="s">
        <v>124</v>
      </c>
      <c r="C20" s="905"/>
      <c r="D20" s="61"/>
      <c r="E20" s="61"/>
      <c r="F20" s="61"/>
      <c r="G20" s="61"/>
      <c r="H20" s="61"/>
    </row>
    <row r="21" spans="1:14" ht="26.25" customHeight="1" x14ac:dyDescent="0.4">
      <c r="A21" s="59" t="s">
        <v>35</v>
      </c>
      <c r="B21" s="905" t="s">
        <v>130</v>
      </c>
      <c r="C21" s="905"/>
      <c r="D21" s="905"/>
      <c r="E21" s="905"/>
      <c r="F21" s="905"/>
      <c r="G21" s="905"/>
      <c r="H21" s="905"/>
      <c r="I21" s="62"/>
    </row>
    <row r="22" spans="1:14" ht="26.25" customHeight="1" x14ac:dyDescent="0.4">
      <c r="A22" s="59" t="s">
        <v>36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37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900" t="s">
        <v>124</v>
      </c>
      <c r="C26" s="900"/>
    </row>
    <row r="27" spans="1:14" ht="26.25" customHeight="1" x14ac:dyDescent="0.4">
      <c r="A27" s="67" t="s">
        <v>47</v>
      </c>
      <c r="B27" s="906" t="s">
        <v>128</v>
      </c>
      <c r="C27" s="906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48</v>
      </c>
      <c r="B29" s="69">
        <v>0</v>
      </c>
      <c r="C29" s="907" t="s">
        <v>49</v>
      </c>
      <c r="D29" s="908"/>
      <c r="E29" s="908"/>
      <c r="F29" s="908"/>
      <c r="G29" s="909"/>
      <c r="I29" s="70"/>
      <c r="J29" s="70"/>
      <c r="K29" s="70"/>
      <c r="L29" s="70"/>
    </row>
    <row r="30" spans="1:14" s="14" customFormat="1" ht="19.5" customHeight="1" x14ac:dyDescent="0.3">
      <c r="A30" s="67" t="s">
        <v>50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51</v>
      </c>
      <c r="B31" s="74">
        <v>1</v>
      </c>
      <c r="C31" s="910" t="s">
        <v>52</v>
      </c>
      <c r="D31" s="911"/>
      <c r="E31" s="911"/>
      <c r="F31" s="911"/>
      <c r="G31" s="911"/>
      <c r="H31" s="912"/>
      <c r="I31" s="70"/>
      <c r="J31" s="70"/>
      <c r="K31" s="70"/>
      <c r="L31" s="70"/>
    </row>
    <row r="32" spans="1:14" s="14" customFormat="1" ht="27" customHeight="1" x14ac:dyDescent="0.4">
      <c r="A32" s="67" t="s">
        <v>53</v>
      </c>
      <c r="B32" s="74">
        <v>1</v>
      </c>
      <c r="C32" s="910" t="s">
        <v>54</v>
      </c>
      <c r="D32" s="911"/>
      <c r="E32" s="911"/>
      <c r="F32" s="911"/>
      <c r="G32" s="911"/>
      <c r="H32" s="912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55</v>
      </c>
      <c r="B34" s="79">
        <f>B31/B32</f>
        <v>1</v>
      </c>
      <c r="C34" s="58" t="s">
        <v>56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57</v>
      </c>
      <c r="B36" s="81">
        <v>100</v>
      </c>
      <c r="C36" s="58"/>
      <c r="D36" s="913" t="s">
        <v>58</v>
      </c>
      <c r="E36" s="914"/>
      <c r="F36" s="913" t="s">
        <v>59</v>
      </c>
      <c r="G36" s="915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60</v>
      </c>
      <c r="B37" s="83">
        <v>1</v>
      </c>
      <c r="C37" s="84" t="s">
        <v>61</v>
      </c>
      <c r="D37" s="85" t="s">
        <v>62</v>
      </c>
      <c r="E37" s="86" t="s">
        <v>63</v>
      </c>
      <c r="F37" s="85" t="s">
        <v>62</v>
      </c>
      <c r="G37" s="87" t="s">
        <v>63</v>
      </c>
      <c r="I37" s="88" t="s">
        <v>64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65</v>
      </c>
      <c r="B38" s="83">
        <v>1</v>
      </c>
      <c r="C38" s="89">
        <v>1</v>
      </c>
      <c r="D38" s="90">
        <v>52277988</v>
      </c>
      <c r="E38" s="91">
        <f>IF(ISBLANK(D38),"-",$D$48/$D$45*D38)</f>
        <v>50990105.412542708</v>
      </c>
      <c r="F38" s="90">
        <v>56898385</v>
      </c>
      <c r="G38" s="92">
        <f>IF(ISBLANK(F38),"-",$D$48/$F$45*F38)</f>
        <v>51552751.332458995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66</v>
      </c>
      <c r="B39" s="83">
        <v>1</v>
      </c>
      <c r="C39" s="94">
        <v>2</v>
      </c>
      <c r="D39" s="95">
        <v>52303186</v>
      </c>
      <c r="E39" s="96">
        <f>IF(ISBLANK(D39),"-",$D$48/$D$45*D39)</f>
        <v>51014682.652894519</v>
      </c>
      <c r="F39" s="95">
        <v>56867412</v>
      </c>
      <c r="G39" s="97">
        <f>IF(ISBLANK(F39),"-",$D$48/$F$45*F39)</f>
        <v>51524688.262355685</v>
      </c>
      <c r="I39" s="917">
        <f>ABS((F43/D43*D42)-F42)/D42</f>
        <v>1.0703544639920773E-2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67</v>
      </c>
      <c r="B40" s="83">
        <v>1</v>
      </c>
      <c r="C40" s="94">
        <v>3</v>
      </c>
      <c r="D40" s="95">
        <v>52247560</v>
      </c>
      <c r="E40" s="96">
        <f>IF(ISBLANK(D40),"-",$D$48/$D$45*D40)</f>
        <v>50960427.014676802</v>
      </c>
      <c r="F40" s="95">
        <v>56739387</v>
      </c>
      <c r="G40" s="97">
        <f>IF(ISBLANK(F40),"-",$D$48/$F$45*F40)</f>
        <v>51408691.279500403</v>
      </c>
      <c r="I40" s="917"/>
      <c r="L40" s="75"/>
      <c r="M40" s="75"/>
      <c r="N40" s="98"/>
    </row>
    <row r="41" spans="1:14" ht="27" customHeight="1" x14ac:dyDescent="0.4">
      <c r="A41" s="82" t="s">
        <v>68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69</v>
      </c>
      <c r="B42" s="83">
        <v>1</v>
      </c>
      <c r="C42" s="104" t="s">
        <v>70</v>
      </c>
      <c r="D42" s="105">
        <f>AVERAGE(D38:D41)</f>
        <v>52276244.666666664</v>
      </c>
      <c r="E42" s="106">
        <f>AVERAGE(E38:E41)</f>
        <v>50988405.026704676</v>
      </c>
      <c r="F42" s="105">
        <f>AVERAGE(F38:F41)</f>
        <v>56835061.333333336</v>
      </c>
      <c r="G42" s="107">
        <f>AVERAGE(G38:G41)</f>
        <v>51495376.958105028</v>
      </c>
      <c r="H42" s="108"/>
    </row>
    <row r="43" spans="1:14" ht="26.25" customHeight="1" x14ac:dyDescent="0.4">
      <c r="A43" s="82" t="s">
        <v>71</v>
      </c>
      <c r="B43" s="83">
        <v>1</v>
      </c>
      <c r="C43" s="109" t="s">
        <v>72</v>
      </c>
      <c r="D43" s="110">
        <v>16.47</v>
      </c>
      <c r="E43" s="98"/>
      <c r="F43" s="110">
        <v>17.73</v>
      </c>
      <c r="H43" s="108"/>
    </row>
    <row r="44" spans="1:14" ht="26.25" customHeight="1" x14ac:dyDescent="0.4">
      <c r="A44" s="82" t="s">
        <v>73</v>
      </c>
      <c r="B44" s="83">
        <v>1</v>
      </c>
      <c r="C44" s="111" t="s">
        <v>74</v>
      </c>
      <c r="D44" s="112">
        <f>D43*$B$34</f>
        <v>16.47</v>
      </c>
      <c r="E44" s="113"/>
      <c r="F44" s="112">
        <f>F43*$B$34</f>
        <v>17.73</v>
      </c>
      <c r="H44" s="108"/>
    </row>
    <row r="45" spans="1:14" ht="19.5" customHeight="1" x14ac:dyDescent="0.3">
      <c r="A45" s="82" t="s">
        <v>75</v>
      </c>
      <c r="B45" s="114">
        <f>(B44/B43)*(B42/B41)*(B40/B39)*(B38/B37)*B36</f>
        <v>100</v>
      </c>
      <c r="C45" s="111" t="s">
        <v>76</v>
      </c>
      <c r="D45" s="115">
        <f>D44*$B$30/100</f>
        <v>16.404119999999999</v>
      </c>
      <c r="E45" s="116"/>
      <c r="F45" s="115">
        <f>F44*$B$30/100</f>
        <v>17.659079999999999</v>
      </c>
      <c r="H45" s="108"/>
    </row>
    <row r="46" spans="1:14" ht="19.5" customHeight="1" x14ac:dyDescent="0.3">
      <c r="A46" s="918" t="s">
        <v>77</v>
      </c>
      <c r="B46" s="919"/>
      <c r="C46" s="111" t="s">
        <v>78</v>
      </c>
      <c r="D46" s="117">
        <f>D45/$B$45</f>
        <v>0.1640412</v>
      </c>
      <c r="E46" s="118"/>
      <c r="F46" s="119">
        <f>F45/$B$45</f>
        <v>0.17659079999999999</v>
      </c>
      <c r="H46" s="108"/>
    </row>
    <row r="47" spans="1:14" ht="27" customHeight="1" x14ac:dyDescent="0.4">
      <c r="A47" s="920"/>
      <c r="B47" s="921"/>
      <c r="C47" s="120" t="s">
        <v>79</v>
      </c>
      <c r="D47" s="121">
        <v>0.16</v>
      </c>
      <c r="E47" s="122"/>
      <c r="F47" s="118"/>
      <c r="H47" s="108"/>
    </row>
    <row r="48" spans="1:14" ht="18.75" x14ac:dyDescent="0.3">
      <c r="C48" s="123" t="s">
        <v>80</v>
      </c>
      <c r="D48" s="115">
        <f>D47*$B$45</f>
        <v>16</v>
      </c>
      <c r="F48" s="124"/>
      <c r="H48" s="108"/>
    </row>
    <row r="49" spans="1:12" ht="19.5" customHeight="1" x14ac:dyDescent="0.3">
      <c r="C49" s="125" t="s">
        <v>81</v>
      </c>
      <c r="D49" s="126">
        <f>D48/B34</f>
        <v>16</v>
      </c>
      <c r="F49" s="124"/>
      <c r="H49" s="108"/>
    </row>
    <row r="50" spans="1:12" ht="18.75" x14ac:dyDescent="0.3">
      <c r="C50" s="80" t="s">
        <v>82</v>
      </c>
      <c r="D50" s="127">
        <f>AVERAGE(E38:E41,G38:G41)</f>
        <v>51241890.992404856</v>
      </c>
      <c r="F50" s="128"/>
      <c r="H50" s="108"/>
    </row>
    <row r="51" spans="1:12" ht="18.75" x14ac:dyDescent="0.3">
      <c r="C51" s="82" t="s">
        <v>83</v>
      </c>
      <c r="D51" s="129">
        <f>STDEV(E38:E41,G38:G41)/D50</f>
        <v>5.5105876398191022E-3</v>
      </c>
      <c r="F51" s="128"/>
      <c r="H51" s="108"/>
    </row>
    <row r="52" spans="1:12" ht="19.5" customHeight="1" x14ac:dyDescent="0.3">
      <c r="C52" s="130" t="s">
        <v>19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84</v>
      </c>
    </row>
    <row r="55" spans="1:12" ht="18.75" x14ac:dyDescent="0.3">
      <c r="A55" s="58" t="s">
        <v>85</v>
      </c>
      <c r="B55" s="134" t="str">
        <f>B21</f>
        <v>RIFAMPICIN 150mg</v>
      </c>
    </row>
    <row r="56" spans="1:12" ht="26.25" customHeight="1" x14ac:dyDescent="0.4">
      <c r="A56" s="135" t="s">
        <v>86</v>
      </c>
      <c r="B56" s="136">
        <v>150</v>
      </c>
      <c r="C56" s="58" t="str">
        <f>B20</f>
        <v>RIFAMPICIN</v>
      </c>
      <c r="H56" s="137"/>
    </row>
    <row r="57" spans="1:12" ht="18.75" x14ac:dyDescent="0.3">
      <c r="A57" s="134" t="s">
        <v>87</v>
      </c>
      <c r="B57" s="225">
        <f>'Uniformity (2)'!C46</f>
        <v>1262.1402999999998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88</v>
      </c>
      <c r="B59" s="81">
        <v>200</v>
      </c>
      <c r="C59" s="58"/>
      <c r="D59" s="138" t="s">
        <v>89</v>
      </c>
      <c r="E59" s="139" t="s">
        <v>61</v>
      </c>
      <c r="F59" s="139" t="s">
        <v>62</v>
      </c>
      <c r="G59" s="139" t="s">
        <v>90</v>
      </c>
      <c r="H59" s="84" t="s">
        <v>91</v>
      </c>
      <c r="L59" s="70"/>
    </row>
    <row r="60" spans="1:12" s="14" customFormat="1" ht="26.25" customHeight="1" x14ac:dyDescent="0.4">
      <c r="A60" s="82" t="s">
        <v>92</v>
      </c>
      <c r="B60" s="83">
        <v>4</v>
      </c>
      <c r="C60" s="922" t="s">
        <v>93</v>
      </c>
      <c r="D60" s="925">
        <v>1279.67</v>
      </c>
      <c r="E60" s="140">
        <v>1</v>
      </c>
      <c r="F60" s="141">
        <v>46886976</v>
      </c>
      <c r="G60" s="226">
        <f>IF(ISBLANK(F60),"-",(F60/$D$50*$D$47*$B$68)*($B$57/$D$60))</f>
        <v>144.39651219906719</v>
      </c>
      <c r="H60" s="142">
        <f t="shared" ref="H60:H71" si="0">IF(ISBLANK(F60),"-",G60/$B$56)</f>
        <v>0.96264341466044789</v>
      </c>
      <c r="L60" s="70"/>
    </row>
    <row r="61" spans="1:12" s="14" customFormat="1" ht="26.25" customHeight="1" x14ac:dyDescent="0.4">
      <c r="A61" s="82" t="s">
        <v>94</v>
      </c>
      <c r="B61" s="83">
        <v>20</v>
      </c>
      <c r="C61" s="923"/>
      <c r="D61" s="926"/>
      <c r="E61" s="143">
        <v>2</v>
      </c>
      <c r="F61" s="95">
        <v>46217407</v>
      </c>
      <c r="G61" s="227">
        <f>IF(ISBLANK(F61),"-",(F61/$D$50*$D$47*$B$68)*($B$57/$D$60))</f>
        <v>142.33445922562279</v>
      </c>
      <c r="H61" s="144">
        <f t="shared" si="0"/>
        <v>0.94889639483748534</v>
      </c>
      <c r="L61" s="70"/>
    </row>
    <row r="62" spans="1:12" s="14" customFormat="1" ht="26.25" customHeight="1" x14ac:dyDescent="0.4">
      <c r="A62" s="82" t="s">
        <v>95</v>
      </c>
      <c r="B62" s="83">
        <v>1</v>
      </c>
      <c r="C62" s="923"/>
      <c r="D62" s="926"/>
      <c r="E62" s="143">
        <v>3</v>
      </c>
      <c r="F62" s="145">
        <v>46125943</v>
      </c>
      <c r="G62" s="227">
        <f>IF(ISBLANK(F62),"-",(F62/$D$50*$D$47*$B$68)*($B$57/$D$60))</f>
        <v>142.05278009596901</v>
      </c>
      <c r="H62" s="144">
        <f t="shared" si="0"/>
        <v>0.94701853397312674</v>
      </c>
      <c r="L62" s="70"/>
    </row>
    <row r="63" spans="1:12" ht="27" customHeight="1" x14ac:dyDescent="0.4">
      <c r="A63" s="82" t="s">
        <v>96</v>
      </c>
      <c r="B63" s="83">
        <v>1</v>
      </c>
      <c r="C63" s="924"/>
      <c r="D63" s="927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97</v>
      </c>
      <c r="B64" s="83">
        <v>1</v>
      </c>
      <c r="C64" s="922" t="s">
        <v>98</v>
      </c>
      <c r="D64" s="925">
        <v>1252.19</v>
      </c>
      <c r="E64" s="140">
        <v>1</v>
      </c>
      <c r="F64" s="141">
        <v>46389040</v>
      </c>
      <c r="G64" s="228">
        <f>IF(ISBLANK(F64),"-",(F64/$D$50*$D$47*$B$68)*($B$57/$D$64))</f>
        <v>145.99824061244144</v>
      </c>
      <c r="H64" s="148">
        <f t="shared" si="0"/>
        <v>0.97332160408294288</v>
      </c>
    </row>
    <row r="65" spans="1:8" ht="26.25" customHeight="1" x14ac:dyDescent="0.4">
      <c r="A65" s="82" t="s">
        <v>99</v>
      </c>
      <c r="B65" s="83">
        <v>1</v>
      </c>
      <c r="C65" s="923"/>
      <c r="D65" s="926"/>
      <c r="E65" s="143">
        <v>2</v>
      </c>
      <c r="F65" s="95">
        <v>46360070</v>
      </c>
      <c r="G65" s="229">
        <f>IF(ISBLANK(F65),"-",(F65/$D$50*$D$47*$B$68)*($B$57/$D$64))</f>
        <v>145.90706457106307</v>
      </c>
      <c r="H65" s="149">
        <f t="shared" si="0"/>
        <v>0.97271376380708718</v>
      </c>
    </row>
    <row r="66" spans="1:8" ht="26.25" customHeight="1" x14ac:dyDescent="0.4">
      <c r="A66" s="82" t="s">
        <v>100</v>
      </c>
      <c r="B66" s="83">
        <v>1</v>
      </c>
      <c r="C66" s="923"/>
      <c r="D66" s="926"/>
      <c r="E66" s="143">
        <v>3</v>
      </c>
      <c r="F66" s="95">
        <v>46156331</v>
      </c>
      <c r="G66" s="229">
        <f>IF(ISBLANK(F66),"-",(F66/$D$50*$D$47*$B$68)*($B$57/$D$64))</f>
        <v>145.2658455343221</v>
      </c>
      <c r="H66" s="149">
        <f t="shared" si="0"/>
        <v>0.96843897022881398</v>
      </c>
    </row>
    <row r="67" spans="1:8" ht="27" customHeight="1" x14ac:dyDescent="0.4">
      <c r="A67" s="82" t="s">
        <v>101</v>
      </c>
      <c r="B67" s="83">
        <v>1</v>
      </c>
      <c r="C67" s="924"/>
      <c r="D67" s="927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102</v>
      </c>
      <c r="B68" s="151">
        <f>(B67/B66)*(B65/B64)*(B63/B62)*(B61/B60)*B59</f>
        <v>1000</v>
      </c>
      <c r="C68" s="922" t="s">
        <v>103</v>
      </c>
      <c r="D68" s="925">
        <v>1254.3399999999999</v>
      </c>
      <c r="E68" s="140">
        <v>1</v>
      </c>
      <c r="F68" s="141">
        <v>46367306</v>
      </c>
      <c r="G68" s="228">
        <f>IF(ISBLANK(F68),"-",(F68/$D$50*$D$47*$B$68)*($B$57/$D$68))</f>
        <v>145.67970725703304</v>
      </c>
      <c r="H68" s="144">
        <f t="shared" si="0"/>
        <v>0.97119804838022028</v>
      </c>
    </row>
    <row r="69" spans="1:8" ht="27" customHeight="1" x14ac:dyDescent="0.4">
      <c r="A69" s="130" t="s">
        <v>104</v>
      </c>
      <c r="B69" s="152">
        <f>(D47*B68)/B56*B57</f>
        <v>1346.2829866666664</v>
      </c>
      <c r="C69" s="923"/>
      <c r="D69" s="926"/>
      <c r="E69" s="143">
        <v>2</v>
      </c>
      <c r="F69" s="95">
        <v>45943073</v>
      </c>
      <c r="G69" s="229">
        <f>IF(ISBLANK(F69),"-",(F69/$D$50*$D$47*$B$68)*($B$57/$D$68))</f>
        <v>144.34682543619203</v>
      </c>
      <c r="H69" s="144">
        <f t="shared" si="0"/>
        <v>0.96231216957461352</v>
      </c>
    </row>
    <row r="70" spans="1:8" ht="26.25" customHeight="1" x14ac:dyDescent="0.4">
      <c r="A70" s="935" t="s">
        <v>77</v>
      </c>
      <c r="B70" s="936"/>
      <c r="C70" s="923"/>
      <c r="D70" s="926"/>
      <c r="E70" s="143">
        <v>3</v>
      </c>
      <c r="F70" s="95">
        <v>46139744</v>
      </c>
      <c r="G70" s="229">
        <f>IF(ISBLANK(F70),"-",(F70/$D$50*$D$47*$B$68)*($B$57/$D$68))</f>
        <v>144.96473870693387</v>
      </c>
      <c r="H70" s="144">
        <f t="shared" si="0"/>
        <v>0.96643159137955914</v>
      </c>
    </row>
    <row r="71" spans="1:8" ht="27" customHeight="1" x14ac:dyDescent="0.4">
      <c r="A71" s="937"/>
      <c r="B71" s="938"/>
      <c r="C71" s="934"/>
      <c r="D71" s="927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70</v>
      </c>
      <c r="G72" s="235">
        <f>AVERAGE(G60:G71)</f>
        <v>144.5495748487383</v>
      </c>
      <c r="H72" s="157">
        <f>AVERAGE(H60:H71)</f>
        <v>0.96366383232492181</v>
      </c>
    </row>
    <row r="73" spans="1:8" ht="26.25" customHeight="1" x14ac:dyDescent="0.4">
      <c r="C73" s="154"/>
      <c r="D73" s="154"/>
      <c r="E73" s="154"/>
      <c r="F73" s="158" t="s">
        <v>83</v>
      </c>
      <c r="G73" s="231">
        <f>STDEV(G60:G71)/G72</f>
        <v>1.0117051201794092E-2</v>
      </c>
      <c r="H73" s="231">
        <f>STDEV(H60:H71)/H72</f>
        <v>1.0117051201794087E-2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19</v>
      </c>
      <c r="G74" s="161">
        <f>COUNT(G60:G71)</f>
        <v>9</v>
      </c>
      <c r="H74" s="161">
        <f>COUNT(H60:H71)</f>
        <v>9</v>
      </c>
    </row>
    <row r="76" spans="1:8" ht="26.25" customHeight="1" x14ac:dyDescent="0.4">
      <c r="A76" s="66" t="s">
        <v>105</v>
      </c>
      <c r="B76" s="162" t="s">
        <v>106</v>
      </c>
      <c r="C76" s="930" t="str">
        <f>B20</f>
        <v>RIFAMPICIN</v>
      </c>
      <c r="D76" s="930"/>
      <c r="E76" s="163" t="s">
        <v>107</v>
      </c>
      <c r="F76" s="163"/>
      <c r="G76" s="164">
        <f>H72</f>
        <v>0.96366383232492181</v>
      </c>
      <c r="H76" s="165"/>
    </row>
    <row r="77" spans="1:8" ht="18.75" x14ac:dyDescent="0.3">
      <c r="A77" s="65" t="s">
        <v>108</v>
      </c>
      <c r="B77" s="65" t="s">
        <v>109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916" t="str">
        <f>B26</f>
        <v>RIFAMPICIN</v>
      </c>
      <c r="C79" s="916"/>
    </row>
    <row r="80" spans="1:8" ht="26.25" customHeight="1" x14ac:dyDescent="0.4">
      <c r="A80" s="67" t="s">
        <v>47</v>
      </c>
      <c r="B80" s="916" t="str">
        <f>B27</f>
        <v xml:space="preserve">R5 1 </v>
      </c>
      <c r="C80" s="916"/>
    </row>
    <row r="81" spans="1:12" ht="27" customHeight="1" x14ac:dyDescent="0.4">
      <c r="A81" s="67" t="s">
        <v>6</v>
      </c>
      <c r="B81" s="166">
        <f>B28</f>
        <v>99.6</v>
      </c>
    </row>
    <row r="82" spans="1:12" s="14" customFormat="1" ht="27" customHeight="1" x14ac:dyDescent="0.4">
      <c r="A82" s="67" t="s">
        <v>48</v>
      </c>
      <c r="B82" s="69">
        <v>0</v>
      </c>
      <c r="C82" s="907" t="s">
        <v>49</v>
      </c>
      <c r="D82" s="908"/>
      <c r="E82" s="908"/>
      <c r="F82" s="908"/>
      <c r="G82" s="909"/>
      <c r="I82" s="70"/>
      <c r="J82" s="70"/>
      <c r="K82" s="70"/>
      <c r="L82" s="70"/>
    </row>
    <row r="83" spans="1:12" s="14" customFormat="1" ht="19.5" customHeight="1" x14ac:dyDescent="0.3">
      <c r="A83" s="67" t="s">
        <v>50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51</v>
      </c>
      <c r="B84" s="74">
        <v>1</v>
      </c>
      <c r="C84" s="910" t="s">
        <v>110</v>
      </c>
      <c r="D84" s="911"/>
      <c r="E84" s="911"/>
      <c r="F84" s="911"/>
      <c r="G84" s="911"/>
      <c r="H84" s="912"/>
      <c r="I84" s="70"/>
      <c r="J84" s="70"/>
      <c r="K84" s="70"/>
      <c r="L84" s="70"/>
    </row>
    <row r="85" spans="1:12" s="14" customFormat="1" ht="27" customHeight="1" x14ac:dyDescent="0.4">
      <c r="A85" s="67" t="s">
        <v>53</v>
      </c>
      <c r="B85" s="74">
        <v>1</v>
      </c>
      <c r="C85" s="910" t="s">
        <v>111</v>
      </c>
      <c r="D85" s="911"/>
      <c r="E85" s="911"/>
      <c r="F85" s="911"/>
      <c r="G85" s="911"/>
      <c r="H85" s="912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55</v>
      </c>
      <c r="B87" s="79">
        <f>B84/B85</f>
        <v>1</v>
      </c>
      <c r="C87" s="58" t="s">
        <v>56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57</v>
      </c>
      <c r="B89" s="81">
        <v>100</v>
      </c>
      <c r="D89" s="167" t="s">
        <v>58</v>
      </c>
      <c r="E89" s="168"/>
      <c r="F89" s="913" t="s">
        <v>59</v>
      </c>
      <c r="G89" s="915"/>
    </row>
    <row r="90" spans="1:12" ht="27" customHeight="1" x14ac:dyDescent="0.4">
      <c r="A90" s="82" t="s">
        <v>60</v>
      </c>
      <c r="B90" s="83">
        <v>1</v>
      </c>
      <c r="C90" s="169" t="s">
        <v>61</v>
      </c>
      <c r="D90" s="85" t="s">
        <v>62</v>
      </c>
      <c r="E90" s="86" t="s">
        <v>63</v>
      </c>
      <c r="F90" s="85" t="s">
        <v>62</v>
      </c>
      <c r="G90" s="170" t="s">
        <v>63</v>
      </c>
      <c r="I90" s="88" t="s">
        <v>64</v>
      </c>
    </row>
    <row r="91" spans="1:12" ht="26.25" customHeight="1" x14ac:dyDescent="0.4">
      <c r="A91" s="82" t="s">
        <v>65</v>
      </c>
      <c r="B91" s="83">
        <v>1</v>
      </c>
      <c r="C91" s="171">
        <v>1</v>
      </c>
      <c r="D91" s="600">
        <v>52277988</v>
      </c>
      <c r="E91" s="91">
        <f>IF(ISBLANK(D91),"-",$D$101/$D$98*D91)</f>
        <v>53114693.138065316</v>
      </c>
      <c r="F91" s="600">
        <v>56898385</v>
      </c>
      <c r="G91" s="92">
        <f>IF(ISBLANK(F91),"-",$D$101/$F$98*F91)</f>
        <v>53700782.637978114</v>
      </c>
      <c r="I91" s="93"/>
    </row>
    <row r="92" spans="1:12" ht="26.25" customHeight="1" x14ac:dyDescent="0.4">
      <c r="A92" s="82" t="s">
        <v>66</v>
      </c>
      <c r="B92" s="83">
        <v>1</v>
      </c>
      <c r="C92" s="155">
        <v>2</v>
      </c>
      <c r="D92" s="601">
        <v>52303186</v>
      </c>
      <c r="E92" s="96">
        <f>IF(ISBLANK(D92),"-",$D$101/$D$98*D92)</f>
        <v>53140294.430098459</v>
      </c>
      <c r="F92" s="601">
        <v>56867412</v>
      </c>
      <c r="G92" s="97">
        <f>IF(ISBLANK(F92),"-",$D$101/$F$98*F92)</f>
        <v>53671550.273287162</v>
      </c>
      <c r="I92" s="917">
        <f>ABS((F96/D96*D95)-F95)/D95</f>
        <v>1.0703544639920773E-2</v>
      </c>
    </row>
    <row r="93" spans="1:12" ht="26.25" customHeight="1" x14ac:dyDescent="0.4">
      <c r="A93" s="82" t="s">
        <v>67</v>
      </c>
      <c r="B93" s="83">
        <v>1</v>
      </c>
      <c r="C93" s="155">
        <v>3</v>
      </c>
      <c r="D93" s="601">
        <v>52247560</v>
      </c>
      <c r="E93" s="96">
        <f>IF(ISBLANK(D93),"-",$D$101/$D$98*D93)</f>
        <v>53083778.140288338</v>
      </c>
      <c r="F93" s="601">
        <v>56739387</v>
      </c>
      <c r="G93" s="97">
        <f>IF(ISBLANK(F93),"-",$D$101/$F$98*F93)</f>
        <v>53550720.082812913</v>
      </c>
      <c r="I93" s="917"/>
    </row>
    <row r="94" spans="1:12" ht="27" customHeight="1" x14ac:dyDescent="0.4">
      <c r="A94" s="82" t="s">
        <v>68</v>
      </c>
      <c r="B94" s="83">
        <v>1</v>
      </c>
      <c r="C94" s="172">
        <v>4</v>
      </c>
      <c r="D94" s="602"/>
      <c r="E94" s="101" t="str">
        <f>IF(ISBLANK(D94),"-",$D$101/$D$98*D94)</f>
        <v>-</v>
      </c>
      <c r="F94" s="602"/>
      <c r="G94" s="102" t="str">
        <f>IF(ISBLANK(F94),"-",$D$101/$F$98*F94)</f>
        <v>-</v>
      </c>
      <c r="I94" s="103"/>
    </row>
    <row r="95" spans="1:12" ht="27" customHeight="1" x14ac:dyDescent="0.4">
      <c r="A95" s="82" t="s">
        <v>69</v>
      </c>
      <c r="B95" s="83">
        <v>1</v>
      </c>
      <c r="C95" s="173" t="s">
        <v>70</v>
      </c>
      <c r="D95" s="174">
        <f>AVERAGE(D91:D94)</f>
        <v>52276244.666666664</v>
      </c>
      <c r="E95" s="106">
        <f>AVERAGE(E91:E94)</f>
        <v>53112921.902817369</v>
      </c>
      <c r="F95" s="175">
        <f>AVERAGE(F91:F94)</f>
        <v>56835061.333333336</v>
      </c>
      <c r="G95" s="176">
        <f>AVERAGE(G91:G94)</f>
        <v>53641017.66469273</v>
      </c>
    </row>
    <row r="96" spans="1:12" ht="26.25" customHeight="1" x14ac:dyDescent="0.4">
      <c r="A96" s="82" t="s">
        <v>71</v>
      </c>
      <c r="B96" s="68">
        <v>1</v>
      </c>
      <c r="C96" s="177" t="s">
        <v>112</v>
      </c>
      <c r="D96" s="178">
        <f>D43</f>
        <v>16.47</v>
      </c>
      <c r="E96" s="98"/>
      <c r="F96" s="110">
        <f>F43</f>
        <v>17.73</v>
      </c>
    </row>
    <row r="97" spans="1:10" ht="26.25" customHeight="1" x14ac:dyDescent="0.4">
      <c r="A97" s="82" t="s">
        <v>73</v>
      </c>
      <c r="B97" s="68">
        <v>1</v>
      </c>
      <c r="C97" s="179" t="s">
        <v>113</v>
      </c>
      <c r="D97" s="180">
        <f>D96*$B$87</f>
        <v>16.47</v>
      </c>
      <c r="E97" s="113"/>
      <c r="F97" s="112">
        <f>F96*$B$87</f>
        <v>17.73</v>
      </c>
    </row>
    <row r="98" spans="1:10" ht="19.5" customHeight="1" x14ac:dyDescent="0.3">
      <c r="A98" s="82" t="s">
        <v>75</v>
      </c>
      <c r="B98" s="181">
        <f>(B97/B96)*(B95/B94)*(B93/B92)*(B91/B90)*B89</f>
        <v>100</v>
      </c>
      <c r="C98" s="179" t="s">
        <v>114</v>
      </c>
      <c r="D98" s="182">
        <f>D97*$B$83/100</f>
        <v>16.404119999999999</v>
      </c>
      <c r="E98" s="116"/>
      <c r="F98" s="115">
        <f>F97*$B$83/100</f>
        <v>17.659079999999999</v>
      </c>
    </row>
    <row r="99" spans="1:10" ht="19.5" customHeight="1" x14ac:dyDescent="0.3">
      <c r="A99" s="918" t="s">
        <v>77</v>
      </c>
      <c r="B99" s="932"/>
      <c r="C99" s="179" t="s">
        <v>115</v>
      </c>
      <c r="D99" s="183">
        <f>D98/$B$98</f>
        <v>0.1640412</v>
      </c>
      <c r="E99" s="116"/>
      <c r="F99" s="119">
        <f>F98/$B$98</f>
        <v>0.17659079999999999</v>
      </c>
      <c r="G99" s="184"/>
      <c r="H99" s="108"/>
    </row>
    <row r="100" spans="1:10" ht="19.5" customHeight="1" x14ac:dyDescent="0.3">
      <c r="A100" s="920"/>
      <c r="B100" s="933"/>
      <c r="C100" s="179" t="s">
        <v>79</v>
      </c>
      <c r="D100" s="185">
        <f>$B$56/$B$116</f>
        <v>0.16666666666666666</v>
      </c>
      <c r="F100" s="124"/>
      <c r="G100" s="186"/>
      <c r="H100" s="108"/>
    </row>
    <row r="101" spans="1:10" ht="18.75" x14ac:dyDescent="0.3">
      <c r="C101" s="179" t="s">
        <v>80</v>
      </c>
      <c r="D101" s="180">
        <f>D100*$B$98</f>
        <v>16.666666666666664</v>
      </c>
      <c r="F101" s="124"/>
      <c r="G101" s="184"/>
      <c r="H101" s="108"/>
    </row>
    <row r="102" spans="1:10" ht="19.5" customHeight="1" x14ac:dyDescent="0.3">
      <c r="C102" s="187" t="s">
        <v>81</v>
      </c>
      <c r="D102" s="188">
        <f>D101/B34</f>
        <v>16.666666666666664</v>
      </c>
      <c r="F102" s="128"/>
      <c r="G102" s="184"/>
      <c r="H102" s="108"/>
      <c r="J102" s="189"/>
    </row>
    <row r="103" spans="1:10" ht="18.75" x14ac:dyDescent="0.3">
      <c r="C103" s="190" t="s">
        <v>116</v>
      </c>
      <c r="D103" s="191">
        <f>AVERAGE(E91:E94,G91:G94)</f>
        <v>53376969.783755042</v>
      </c>
      <c r="F103" s="128"/>
      <c r="G103" s="192"/>
      <c r="H103" s="108"/>
      <c r="J103" s="193"/>
    </row>
    <row r="104" spans="1:10" ht="18.75" x14ac:dyDescent="0.3">
      <c r="C104" s="158" t="s">
        <v>83</v>
      </c>
      <c r="D104" s="194">
        <f>STDEV(E91:E94,G91:G94)/D103</f>
        <v>5.510587639819031E-3</v>
      </c>
      <c r="F104" s="128"/>
      <c r="G104" s="184"/>
      <c r="H104" s="108"/>
      <c r="J104" s="193"/>
    </row>
    <row r="105" spans="1:10" ht="19.5" customHeight="1" x14ac:dyDescent="0.3">
      <c r="C105" s="160" t="s">
        <v>19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117</v>
      </c>
      <c r="B107" s="81">
        <v>900</v>
      </c>
      <c r="C107" s="196" t="s">
        <v>118</v>
      </c>
      <c r="D107" s="197" t="s">
        <v>62</v>
      </c>
      <c r="E107" s="198" t="s">
        <v>119</v>
      </c>
      <c r="F107" s="199" t="s">
        <v>120</v>
      </c>
    </row>
    <row r="108" spans="1:10" ht="26.25" customHeight="1" x14ac:dyDescent="0.4">
      <c r="A108" s="82" t="s">
        <v>121</v>
      </c>
      <c r="B108" s="83">
        <v>1</v>
      </c>
      <c r="C108" s="200">
        <v>1</v>
      </c>
      <c r="D108" s="201">
        <v>45883462</v>
      </c>
      <c r="E108" s="232">
        <f t="shared" ref="E108:E113" si="1">IF(ISBLANK(D108),"-",D108/$D$103*$D$100*$B$116)</f>
        <v>128.94173887882735</v>
      </c>
      <c r="F108" s="202">
        <f t="shared" ref="F108:F113" si="2">IF(ISBLANK(D108), "-", E108/$B$56)</f>
        <v>0.85961159252551567</v>
      </c>
    </row>
    <row r="109" spans="1:10" ht="26.25" customHeight="1" x14ac:dyDescent="0.4">
      <c r="A109" s="82" t="s">
        <v>94</v>
      </c>
      <c r="B109" s="83">
        <v>1</v>
      </c>
      <c r="C109" s="200">
        <v>2</v>
      </c>
      <c r="D109" s="201">
        <v>45730922</v>
      </c>
      <c r="E109" s="233">
        <f t="shared" si="1"/>
        <v>128.51307085790563</v>
      </c>
      <c r="F109" s="203">
        <f t="shared" si="2"/>
        <v>0.85675380571937088</v>
      </c>
    </row>
    <row r="110" spans="1:10" ht="26.25" customHeight="1" x14ac:dyDescent="0.4">
      <c r="A110" s="82" t="s">
        <v>95</v>
      </c>
      <c r="B110" s="83">
        <v>1</v>
      </c>
      <c r="C110" s="200">
        <v>3</v>
      </c>
      <c r="D110" s="201">
        <v>45533048</v>
      </c>
      <c r="E110" s="233">
        <f t="shared" si="1"/>
        <v>127.95700519662425</v>
      </c>
      <c r="F110" s="203">
        <f t="shared" si="2"/>
        <v>0.85304670131082838</v>
      </c>
    </row>
    <row r="111" spans="1:10" ht="26.25" customHeight="1" x14ac:dyDescent="0.4">
      <c r="A111" s="82" t="s">
        <v>96</v>
      </c>
      <c r="B111" s="83">
        <v>1</v>
      </c>
      <c r="C111" s="200">
        <v>4</v>
      </c>
      <c r="D111" s="201">
        <v>45691865</v>
      </c>
      <c r="E111" s="233">
        <f t="shared" si="1"/>
        <v>128.40331284759267</v>
      </c>
      <c r="F111" s="203">
        <f t="shared" si="2"/>
        <v>0.85602208565061777</v>
      </c>
    </row>
    <row r="112" spans="1:10" ht="26.25" customHeight="1" x14ac:dyDescent="0.4">
      <c r="A112" s="82" t="s">
        <v>97</v>
      </c>
      <c r="B112" s="83">
        <v>1</v>
      </c>
      <c r="C112" s="200">
        <v>5</v>
      </c>
      <c r="D112" s="201">
        <v>45466486</v>
      </c>
      <c r="E112" s="233">
        <f t="shared" si="1"/>
        <v>127.76995261494999</v>
      </c>
      <c r="F112" s="203">
        <f t="shared" si="2"/>
        <v>0.85179968409966655</v>
      </c>
    </row>
    <row r="113" spans="1:10" ht="26.25" customHeight="1" x14ac:dyDescent="0.4">
      <c r="A113" s="82" t="s">
        <v>99</v>
      </c>
      <c r="B113" s="83">
        <v>1</v>
      </c>
      <c r="C113" s="204">
        <v>6</v>
      </c>
      <c r="D113" s="205">
        <v>45574790</v>
      </c>
      <c r="E113" s="234">
        <f t="shared" si="1"/>
        <v>128.07430859592486</v>
      </c>
      <c r="F113" s="206">
        <f t="shared" si="2"/>
        <v>0.85382872397283238</v>
      </c>
    </row>
    <row r="114" spans="1:10" ht="26.25" customHeight="1" x14ac:dyDescent="0.4">
      <c r="A114" s="82" t="s">
        <v>100</v>
      </c>
      <c r="B114" s="83">
        <v>1</v>
      </c>
      <c r="C114" s="200"/>
      <c r="D114" s="155"/>
      <c r="E114" s="57"/>
      <c r="F114" s="207"/>
    </row>
    <row r="115" spans="1:10" ht="26.25" customHeight="1" x14ac:dyDescent="0.4">
      <c r="A115" s="82" t="s">
        <v>101</v>
      </c>
      <c r="B115" s="83">
        <v>1</v>
      </c>
      <c r="C115" s="200"/>
      <c r="D115" s="208" t="s">
        <v>70</v>
      </c>
      <c r="E115" s="236">
        <f>AVERAGE(E108:E113)</f>
        <v>128.27656483197077</v>
      </c>
      <c r="F115" s="209">
        <f>AVERAGE(F108:F113)</f>
        <v>0.85517709887980542</v>
      </c>
    </row>
    <row r="116" spans="1:10" ht="27" customHeight="1" x14ac:dyDescent="0.4">
      <c r="A116" s="82" t="s">
        <v>102</v>
      </c>
      <c r="B116" s="114">
        <f>(B115/B114)*(B113/B112)*(B111/B110)*(B109/B108)*B107</f>
        <v>900</v>
      </c>
      <c r="C116" s="210"/>
      <c r="D116" s="173" t="s">
        <v>83</v>
      </c>
      <c r="E116" s="211">
        <f>STDEV(E108:E113)/E115</f>
        <v>3.3332945330283065E-3</v>
      </c>
      <c r="F116" s="211">
        <f>STDEV(F108:F113)/F115</f>
        <v>3.3332945330283E-3</v>
      </c>
      <c r="I116" s="57"/>
    </row>
    <row r="117" spans="1:10" ht="27" customHeight="1" x14ac:dyDescent="0.4">
      <c r="A117" s="918" t="s">
        <v>77</v>
      </c>
      <c r="B117" s="919"/>
      <c r="C117" s="212"/>
      <c r="D117" s="213" t="s">
        <v>19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920"/>
      <c r="B118" s="921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105</v>
      </c>
      <c r="B120" s="162" t="s">
        <v>122</v>
      </c>
      <c r="C120" s="930" t="str">
        <f>B20</f>
        <v>RIFAMPICIN</v>
      </c>
      <c r="D120" s="930"/>
      <c r="E120" s="163" t="s">
        <v>123</v>
      </c>
      <c r="F120" s="163"/>
      <c r="G120" s="164">
        <f>F115</f>
        <v>0.85517709887980542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931" t="s">
        <v>25</v>
      </c>
      <c r="C122" s="931"/>
      <c r="E122" s="169" t="s">
        <v>26</v>
      </c>
      <c r="F122" s="217"/>
      <c r="G122" s="931" t="s">
        <v>27</v>
      </c>
      <c r="H122" s="931"/>
    </row>
    <row r="123" spans="1:10" ht="69.95" customHeight="1" x14ac:dyDescent="0.3">
      <c r="A123" s="218" t="s">
        <v>28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29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2" zoomScale="60" zoomScaleNormal="100" workbookViewId="0">
      <selection activeCell="B42" sqref="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39" t="s">
        <v>0</v>
      </c>
      <c r="B15" s="939"/>
      <c r="C15" s="939"/>
      <c r="D15" s="939"/>
      <c r="E15" s="9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7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609" t="s">
        <v>138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10.35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0.10349999999999999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34697044</v>
      </c>
      <c r="C24" s="18">
        <v>6965.93</v>
      </c>
      <c r="D24" s="19">
        <v>1.1399999999999999</v>
      </c>
      <c r="E24" s="20">
        <v>2.4700000000000002</v>
      </c>
    </row>
    <row r="25" spans="1:6" ht="16.5" customHeight="1" x14ac:dyDescent="0.3">
      <c r="A25" s="17">
        <v>2</v>
      </c>
      <c r="B25" s="18">
        <v>34760577</v>
      </c>
      <c r="C25" s="18">
        <v>6933.9</v>
      </c>
      <c r="D25" s="19">
        <v>1.17</v>
      </c>
      <c r="E25" s="19">
        <v>2.4700000000000002</v>
      </c>
    </row>
    <row r="26" spans="1:6" ht="16.5" customHeight="1" x14ac:dyDescent="0.3">
      <c r="A26" s="17">
        <v>3</v>
      </c>
      <c r="B26" s="18">
        <v>34683178</v>
      </c>
      <c r="C26" s="18">
        <v>6887.94</v>
      </c>
      <c r="D26" s="19">
        <v>1.1499999999999999</v>
      </c>
      <c r="E26" s="19">
        <v>2.4700000000000002</v>
      </c>
    </row>
    <row r="27" spans="1:6" ht="16.5" customHeight="1" x14ac:dyDescent="0.3">
      <c r="A27" s="17">
        <v>4</v>
      </c>
      <c r="B27" s="18">
        <v>34753730</v>
      </c>
      <c r="C27" s="18">
        <v>6988.73</v>
      </c>
      <c r="D27" s="19">
        <v>1.1599999999999999</v>
      </c>
      <c r="E27" s="19">
        <v>2.48</v>
      </c>
    </row>
    <row r="28" spans="1:6" ht="16.5" customHeight="1" x14ac:dyDescent="0.3">
      <c r="A28" s="17">
        <v>5</v>
      </c>
      <c r="B28" s="18">
        <v>34762733</v>
      </c>
      <c r="C28" s="18">
        <v>6962.7</v>
      </c>
      <c r="D28" s="19">
        <v>1.1399999999999999</v>
      </c>
      <c r="E28" s="19">
        <v>2.4700000000000002</v>
      </c>
    </row>
    <row r="29" spans="1:6" ht="16.5" customHeight="1" x14ac:dyDescent="0.3">
      <c r="A29" s="17">
        <v>6</v>
      </c>
      <c r="B29" s="21">
        <v>34829002</v>
      </c>
      <c r="C29" s="21">
        <v>6930.51</v>
      </c>
      <c r="D29" s="22">
        <v>1.17</v>
      </c>
      <c r="E29" s="22">
        <v>2.4700000000000002</v>
      </c>
    </row>
    <row r="30" spans="1:6" ht="16.5" customHeight="1" x14ac:dyDescent="0.3">
      <c r="A30" s="23" t="s">
        <v>17</v>
      </c>
      <c r="B30" s="24">
        <f>AVERAGE(B24:B29)</f>
        <v>34747710.666666664</v>
      </c>
      <c r="C30" s="25">
        <f>AVERAGE(C24:C29)</f>
        <v>6944.9516666666668</v>
      </c>
      <c r="D30" s="26">
        <f>AVERAGE(D24:D29)</f>
        <v>1.1549999999999998</v>
      </c>
      <c r="E30" s="26">
        <f>AVERAGE(E24:E29)</f>
        <v>2.4716666666666671</v>
      </c>
    </row>
    <row r="31" spans="1:6" ht="16.5" customHeight="1" x14ac:dyDescent="0.3">
      <c r="A31" s="27" t="s">
        <v>18</v>
      </c>
      <c r="B31" s="28">
        <f>(STDEV(B24:B29)/B30)</f>
        <v>1.5101261500079018E-3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607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133</v>
      </c>
      <c r="C40" s="10"/>
      <c r="D40" s="10"/>
      <c r="E40" s="10"/>
    </row>
    <row r="41" spans="1:6" ht="16.5" customHeight="1" x14ac:dyDescent="0.3">
      <c r="A41" s="7" t="s">
        <v>7</v>
      </c>
      <c r="B41" s="12">
        <f>B20</f>
        <v>10.35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B41/100</f>
        <v>0.10349999999999999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34697044</v>
      </c>
      <c r="C45" s="18">
        <v>6965.93</v>
      </c>
      <c r="D45" s="19">
        <v>1.1399999999999999</v>
      </c>
      <c r="E45" s="20">
        <v>2.4700000000000002</v>
      </c>
    </row>
    <row r="46" spans="1:6" ht="16.5" customHeight="1" x14ac:dyDescent="0.3">
      <c r="A46" s="17">
        <v>2</v>
      </c>
      <c r="B46" s="18">
        <v>34760577</v>
      </c>
      <c r="C46" s="18">
        <v>6933.9</v>
      </c>
      <c r="D46" s="19">
        <v>1.17</v>
      </c>
      <c r="E46" s="19">
        <v>2.4700000000000002</v>
      </c>
    </row>
    <row r="47" spans="1:6" ht="16.5" customHeight="1" x14ac:dyDescent="0.3">
      <c r="A47" s="17">
        <v>3</v>
      </c>
      <c r="B47" s="18">
        <v>34683178</v>
      </c>
      <c r="C47" s="18">
        <v>6887.94</v>
      </c>
      <c r="D47" s="19">
        <v>1.1499999999999999</v>
      </c>
      <c r="E47" s="19">
        <v>2.4700000000000002</v>
      </c>
    </row>
    <row r="48" spans="1:6" ht="16.5" customHeight="1" x14ac:dyDescent="0.3">
      <c r="A48" s="17">
        <v>4</v>
      </c>
      <c r="B48" s="18">
        <v>34753730</v>
      </c>
      <c r="C48" s="18">
        <v>6988.73</v>
      </c>
      <c r="D48" s="19">
        <v>1.1599999999999999</v>
      </c>
      <c r="E48" s="19">
        <v>2.48</v>
      </c>
    </row>
    <row r="49" spans="1:7" ht="16.5" customHeight="1" x14ac:dyDescent="0.3">
      <c r="A49" s="17">
        <v>5</v>
      </c>
      <c r="B49" s="18">
        <v>34762733</v>
      </c>
      <c r="C49" s="18">
        <v>6962.7</v>
      </c>
      <c r="D49" s="19">
        <v>1.1399999999999999</v>
      </c>
      <c r="E49" s="19">
        <v>2.4700000000000002</v>
      </c>
    </row>
    <row r="50" spans="1:7" ht="16.5" customHeight="1" x14ac:dyDescent="0.3">
      <c r="A50" s="17">
        <v>6</v>
      </c>
      <c r="B50" s="21">
        <v>34829002</v>
      </c>
      <c r="C50" s="21">
        <v>6930.51</v>
      </c>
      <c r="D50" s="22">
        <v>1.17</v>
      </c>
      <c r="E50" s="22">
        <v>2.4700000000000002</v>
      </c>
    </row>
    <row r="51" spans="1:7" ht="16.5" customHeight="1" x14ac:dyDescent="0.3">
      <c r="A51" s="23" t="s">
        <v>17</v>
      </c>
      <c r="B51" s="24">
        <f>AVERAGE(B45:B50)</f>
        <v>34747710.666666664</v>
      </c>
      <c r="C51" s="25">
        <f>AVERAGE(C45:C50)</f>
        <v>6944.9516666666668</v>
      </c>
      <c r="D51" s="26">
        <f>AVERAGE(D45:D50)</f>
        <v>1.1549999999999998</v>
      </c>
      <c r="E51" s="26">
        <f>AVERAGE(E45:E50)</f>
        <v>2.4716666666666671</v>
      </c>
    </row>
    <row r="52" spans="1:7" ht="16.5" customHeight="1" x14ac:dyDescent="0.3">
      <c r="A52" s="27" t="s">
        <v>18</v>
      </c>
      <c r="B52" s="28">
        <f>(STDEV(B45:B50)/B51)</f>
        <v>1.5101261500079018E-3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40" t="s">
        <v>25</v>
      </c>
      <c r="C59" s="94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8" zoomScale="55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8" t="s">
        <v>44</v>
      </c>
      <c r="B1" s="928"/>
      <c r="C1" s="928"/>
      <c r="D1" s="928"/>
      <c r="E1" s="928"/>
      <c r="F1" s="928"/>
      <c r="G1" s="928"/>
      <c r="H1" s="928"/>
      <c r="I1" s="928"/>
    </row>
    <row r="2" spans="1:9" ht="18.75" customHeight="1" x14ac:dyDescent="0.25">
      <c r="A2" s="928"/>
      <c r="B2" s="928"/>
      <c r="C2" s="928"/>
      <c r="D2" s="928"/>
      <c r="E2" s="928"/>
      <c r="F2" s="928"/>
      <c r="G2" s="928"/>
      <c r="H2" s="928"/>
      <c r="I2" s="928"/>
    </row>
    <row r="3" spans="1:9" ht="18.75" customHeight="1" x14ac:dyDescent="0.25">
      <c r="A3" s="928"/>
      <c r="B3" s="928"/>
      <c r="C3" s="928"/>
      <c r="D3" s="928"/>
      <c r="E3" s="928"/>
      <c r="F3" s="928"/>
      <c r="G3" s="928"/>
      <c r="H3" s="928"/>
      <c r="I3" s="928"/>
    </row>
    <row r="4" spans="1:9" ht="18.75" customHeight="1" x14ac:dyDescent="0.25">
      <c r="A4" s="928"/>
      <c r="B4" s="928"/>
      <c r="C4" s="928"/>
      <c r="D4" s="928"/>
      <c r="E4" s="928"/>
      <c r="F4" s="928"/>
      <c r="G4" s="928"/>
      <c r="H4" s="928"/>
      <c r="I4" s="928"/>
    </row>
    <row r="5" spans="1:9" ht="18.75" customHeight="1" x14ac:dyDescent="0.25">
      <c r="A5" s="928"/>
      <c r="B5" s="928"/>
      <c r="C5" s="928"/>
      <c r="D5" s="928"/>
      <c r="E5" s="928"/>
      <c r="F5" s="928"/>
      <c r="G5" s="928"/>
      <c r="H5" s="928"/>
      <c r="I5" s="928"/>
    </row>
    <row r="6" spans="1:9" ht="18.75" customHeight="1" x14ac:dyDescent="0.25">
      <c r="A6" s="928"/>
      <c r="B6" s="928"/>
      <c r="C6" s="928"/>
      <c r="D6" s="928"/>
      <c r="E6" s="928"/>
      <c r="F6" s="928"/>
      <c r="G6" s="928"/>
      <c r="H6" s="928"/>
      <c r="I6" s="928"/>
    </row>
    <row r="7" spans="1:9" ht="18.75" customHeight="1" x14ac:dyDescent="0.25">
      <c r="A7" s="928"/>
      <c r="B7" s="928"/>
      <c r="C7" s="928"/>
      <c r="D7" s="928"/>
      <c r="E7" s="928"/>
      <c r="F7" s="928"/>
      <c r="G7" s="928"/>
      <c r="H7" s="928"/>
      <c r="I7" s="928"/>
    </row>
    <row r="8" spans="1:9" x14ac:dyDescent="0.25">
      <c r="A8" s="929" t="s">
        <v>45</v>
      </c>
      <c r="B8" s="929"/>
      <c r="C8" s="929"/>
      <c r="D8" s="929"/>
      <c r="E8" s="929"/>
      <c r="F8" s="929"/>
      <c r="G8" s="929"/>
      <c r="H8" s="929"/>
      <c r="I8" s="929"/>
    </row>
    <row r="9" spans="1:9" x14ac:dyDescent="0.25">
      <c r="A9" s="929"/>
      <c r="B9" s="929"/>
      <c r="C9" s="929"/>
      <c r="D9" s="929"/>
      <c r="E9" s="929"/>
      <c r="F9" s="929"/>
      <c r="G9" s="929"/>
      <c r="H9" s="929"/>
      <c r="I9" s="929"/>
    </row>
    <row r="10" spans="1:9" x14ac:dyDescent="0.25">
      <c r="A10" s="929"/>
      <c r="B10" s="929"/>
      <c r="C10" s="929"/>
      <c r="D10" s="929"/>
      <c r="E10" s="929"/>
      <c r="F10" s="929"/>
      <c r="G10" s="929"/>
      <c r="H10" s="929"/>
      <c r="I10" s="929"/>
    </row>
    <row r="11" spans="1:9" x14ac:dyDescent="0.25">
      <c r="A11" s="929"/>
      <c r="B11" s="929"/>
      <c r="C11" s="929"/>
      <c r="D11" s="929"/>
      <c r="E11" s="929"/>
      <c r="F11" s="929"/>
      <c r="G11" s="929"/>
      <c r="H11" s="929"/>
      <c r="I11" s="929"/>
    </row>
    <row r="12" spans="1:9" x14ac:dyDescent="0.25">
      <c r="A12" s="929"/>
      <c r="B12" s="929"/>
      <c r="C12" s="929"/>
      <c r="D12" s="929"/>
      <c r="E12" s="929"/>
      <c r="F12" s="929"/>
      <c r="G12" s="929"/>
      <c r="H12" s="929"/>
      <c r="I12" s="929"/>
    </row>
    <row r="13" spans="1:9" x14ac:dyDescent="0.25">
      <c r="A13" s="929"/>
      <c r="B13" s="929"/>
      <c r="C13" s="929"/>
      <c r="D13" s="929"/>
      <c r="E13" s="929"/>
      <c r="F13" s="929"/>
      <c r="G13" s="929"/>
      <c r="H13" s="929"/>
      <c r="I13" s="929"/>
    </row>
    <row r="14" spans="1:9" x14ac:dyDescent="0.25">
      <c r="A14" s="929"/>
      <c r="B14" s="929"/>
      <c r="C14" s="929"/>
      <c r="D14" s="929"/>
      <c r="E14" s="929"/>
      <c r="F14" s="929"/>
      <c r="G14" s="929"/>
      <c r="H14" s="929"/>
      <c r="I14" s="929"/>
    </row>
    <row r="15" spans="1:9" ht="19.5" customHeight="1" x14ac:dyDescent="0.3">
      <c r="A15" s="238"/>
    </row>
    <row r="16" spans="1:9" ht="19.5" customHeight="1" x14ac:dyDescent="0.3">
      <c r="A16" s="901" t="s">
        <v>30</v>
      </c>
      <c r="B16" s="902"/>
      <c r="C16" s="902"/>
      <c r="D16" s="902"/>
      <c r="E16" s="902"/>
      <c r="F16" s="902"/>
      <c r="G16" s="902"/>
      <c r="H16" s="903"/>
    </row>
    <row r="17" spans="1:14" ht="20.25" customHeight="1" x14ac:dyDescent="0.25">
      <c r="A17" s="904" t="s">
        <v>46</v>
      </c>
      <c r="B17" s="904"/>
      <c r="C17" s="904"/>
      <c r="D17" s="904"/>
      <c r="E17" s="904"/>
      <c r="F17" s="904"/>
      <c r="G17" s="904"/>
      <c r="H17" s="904"/>
    </row>
    <row r="18" spans="1:14" ht="26.25" customHeight="1" x14ac:dyDescent="0.4">
      <c r="A18" s="240" t="s">
        <v>32</v>
      </c>
      <c r="B18" s="900" t="s">
        <v>5</v>
      </c>
      <c r="C18" s="900"/>
      <c r="D18" s="405"/>
      <c r="E18" s="241"/>
      <c r="F18" s="242"/>
      <c r="G18" s="242"/>
      <c r="H18" s="242"/>
    </row>
    <row r="19" spans="1:14" ht="26.25" customHeight="1" x14ac:dyDescent="0.4">
      <c r="A19" s="240" t="s">
        <v>33</v>
      </c>
      <c r="B19" s="608" t="str">
        <f>Rifampicin!B19</f>
        <v>NDQD2016061089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34</v>
      </c>
      <c r="B20" s="941" t="s">
        <v>136</v>
      </c>
      <c r="C20" s="905"/>
      <c r="D20" s="242"/>
      <c r="E20" s="242"/>
      <c r="F20" s="242"/>
      <c r="G20" s="242"/>
      <c r="H20" s="242"/>
    </row>
    <row r="21" spans="1:14" ht="26.25" customHeight="1" x14ac:dyDescent="0.4">
      <c r="A21" s="240" t="s">
        <v>35</v>
      </c>
      <c r="B21" s="905" t="s">
        <v>10</v>
      </c>
      <c r="C21" s="905"/>
      <c r="D21" s="905"/>
      <c r="E21" s="905"/>
      <c r="F21" s="905"/>
      <c r="G21" s="905"/>
      <c r="H21" s="905"/>
      <c r="I21" s="243"/>
    </row>
    <row r="22" spans="1:14" ht="26.25" customHeight="1" x14ac:dyDescent="0.4">
      <c r="A22" s="240" t="s">
        <v>36</v>
      </c>
      <c r="B22" s="244" t="s">
        <v>11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37</v>
      </c>
      <c r="B23" s="244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900" t="s">
        <v>125</v>
      </c>
      <c r="C26" s="900"/>
    </row>
    <row r="27" spans="1:14" ht="26.25" customHeight="1" x14ac:dyDescent="0.4">
      <c r="A27" s="248" t="s">
        <v>47</v>
      </c>
      <c r="B27" s="906" t="s">
        <v>129</v>
      </c>
      <c r="C27" s="906"/>
    </row>
    <row r="28" spans="1:14" ht="27" customHeight="1" x14ac:dyDescent="0.4">
      <c r="A28" s="248" t="s">
        <v>6</v>
      </c>
      <c r="B28" s="249">
        <v>98.5</v>
      </c>
    </row>
    <row r="29" spans="1:14" s="14" customFormat="1" ht="27" customHeight="1" x14ac:dyDescent="0.4">
      <c r="A29" s="248" t="s">
        <v>48</v>
      </c>
      <c r="B29" s="250">
        <v>0</v>
      </c>
      <c r="C29" s="907" t="s">
        <v>49</v>
      </c>
      <c r="D29" s="908"/>
      <c r="E29" s="908"/>
      <c r="F29" s="908"/>
      <c r="G29" s="909"/>
      <c r="I29" s="251"/>
      <c r="J29" s="251"/>
      <c r="K29" s="251"/>
      <c r="L29" s="251"/>
    </row>
    <row r="30" spans="1:14" s="14" customFormat="1" ht="19.5" customHeight="1" x14ac:dyDescent="0.3">
      <c r="A30" s="248" t="s">
        <v>50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51</v>
      </c>
      <c r="B31" s="255">
        <v>1</v>
      </c>
      <c r="C31" s="910" t="s">
        <v>52</v>
      </c>
      <c r="D31" s="911"/>
      <c r="E31" s="911"/>
      <c r="F31" s="911"/>
      <c r="G31" s="911"/>
      <c r="H31" s="912"/>
      <c r="I31" s="251"/>
      <c r="J31" s="251"/>
      <c r="K31" s="251"/>
      <c r="L31" s="251"/>
    </row>
    <row r="32" spans="1:14" s="14" customFormat="1" ht="27" customHeight="1" x14ac:dyDescent="0.4">
      <c r="A32" s="248" t="s">
        <v>53</v>
      </c>
      <c r="B32" s="255">
        <v>1</v>
      </c>
      <c r="C32" s="910" t="s">
        <v>54</v>
      </c>
      <c r="D32" s="911"/>
      <c r="E32" s="911"/>
      <c r="F32" s="911"/>
      <c r="G32" s="911"/>
      <c r="H32" s="912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55</v>
      </c>
      <c r="B34" s="260">
        <f>B31/B32</f>
        <v>1</v>
      </c>
      <c r="C34" s="239" t="s">
        <v>56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57</v>
      </c>
      <c r="B36" s="262">
        <v>100</v>
      </c>
      <c r="C36" s="239"/>
      <c r="D36" s="913" t="s">
        <v>58</v>
      </c>
      <c r="E36" s="914"/>
      <c r="F36" s="913" t="s">
        <v>59</v>
      </c>
      <c r="G36" s="915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60</v>
      </c>
      <c r="B37" s="264">
        <v>1</v>
      </c>
      <c r="C37" s="265" t="s">
        <v>61</v>
      </c>
      <c r="D37" s="266" t="s">
        <v>62</v>
      </c>
      <c r="E37" s="267" t="s">
        <v>63</v>
      </c>
      <c r="F37" s="266" t="s">
        <v>62</v>
      </c>
      <c r="G37" s="268" t="s">
        <v>63</v>
      </c>
      <c r="I37" s="269" t="s">
        <v>64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65</v>
      </c>
      <c r="B38" s="264">
        <v>1</v>
      </c>
      <c r="C38" s="270">
        <v>1</v>
      </c>
      <c r="D38" s="271">
        <v>34697044</v>
      </c>
      <c r="E38" s="272">
        <f>IF(ISBLANK(D38),"-",$D$48/$D$45*D38)</f>
        <v>27227381.936781187</v>
      </c>
      <c r="F38" s="271">
        <v>28600651</v>
      </c>
      <c r="G38" s="273">
        <f>IF(ISBLANK(F38),"-",$D$48/$F$45*F38)</f>
        <v>27555106.912103858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66</v>
      </c>
      <c r="B39" s="264">
        <v>1</v>
      </c>
      <c r="C39" s="275">
        <v>2</v>
      </c>
      <c r="D39" s="276">
        <v>34760577</v>
      </c>
      <c r="E39" s="277">
        <f>IF(ISBLANK(D39),"-",$D$48/$D$45*D39)</f>
        <v>27277237.401603766</v>
      </c>
      <c r="F39" s="276">
        <v>28667372</v>
      </c>
      <c r="G39" s="278">
        <f>IF(ISBLANK(F39),"-",$D$48/$F$45*F39)</f>
        <v>27619388.81562705</v>
      </c>
      <c r="I39" s="917">
        <f>ABS((F43/D43*D42)-F42)/D42</f>
        <v>9.3895847483465873E-3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67</v>
      </c>
      <c r="B40" s="264">
        <v>1</v>
      </c>
      <c r="C40" s="275">
        <v>3</v>
      </c>
      <c r="D40" s="276">
        <v>34683178</v>
      </c>
      <c r="E40" s="277">
        <f>IF(ISBLANK(D40),"-",$D$48/$D$45*D40)</f>
        <v>27216501.042203095</v>
      </c>
      <c r="F40" s="276">
        <v>28531742</v>
      </c>
      <c r="G40" s="278">
        <f>IF(ISBLANK(F40),"-",$D$48/$F$45*F40)</f>
        <v>27488716.994538482</v>
      </c>
      <c r="I40" s="917"/>
      <c r="L40" s="256"/>
      <c r="M40" s="256"/>
      <c r="N40" s="279"/>
    </row>
    <row r="41" spans="1:14" ht="27" customHeight="1" x14ac:dyDescent="0.4">
      <c r="A41" s="263" t="s">
        <v>68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69</v>
      </c>
      <c r="B42" s="264">
        <v>1</v>
      </c>
      <c r="C42" s="285" t="s">
        <v>70</v>
      </c>
      <c r="D42" s="286">
        <f>AVERAGE(D38:D41)</f>
        <v>34713599.666666664</v>
      </c>
      <c r="E42" s="287">
        <f>AVERAGE(E38:E41)</f>
        <v>27240373.460196018</v>
      </c>
      <c r="F42" s="286">
        <f>AVERAGE(F38:F41)</f>
        <v>28599921.666666668</v>
      </c>
      <c r="G42" s="288">
        <f>AVERAGE(G38:G41)</f>
        <v>27554404.240756463</v>
      </c>
      <c r="H42" s="289"/>
    </row>
    <row r="43" spans="1:14" ht="26.25" customHeight="1" x14ac:dyDescent="0.4">
      <c r="A43" s="263" t="s">
        <v>71</v>
      </c>
      <c r="B43" s="264">
        <v>1</v>
      </c>
      <c r="C43" s="290" t="s">
        <v>72</v>
      </c>
      <c r="D43" s="291">
        <v>10.35</v>
      </c>
      <c r="E43" s="279"/>
      <c r="F43" s="291">
        <v>8.43</v>
      </c>
      <c r="H43" s="289"/>
    </row>
    <row r="44" spans="1:14" ht="26.25" customHeight="1" x14ac:dyDescent="0.4">
      <c r="A44" s="263" t="s">
        <v>73</v>
      </c>
      <c r="B44" s="264">
        <v>1</v>
      </c>
      <c r="C44" s="292" t="s">
        <v>74</v>
      </c>
      <c r="D44" s="293">
        <f>D43*$B$34</f>
        <v>10.35</v>
      </c>
      <c r="E44" s="294"/>
      <c r="F44" s="293">
        <f>F43*$B$34</f>
        <v>8.43</v>
      </c>
      <c r="H44" s="289"/>
    </row>
    <row r="45" spans="1:14" ht="19.5" customHeight="1" x14ac:dyDescent="0.3">
      <c r="A45" s="263" t="s">
        <v>75</v>
      </c>
      <c r="B45" s="295">
        <f>(B44/B43)*(B42/B41)*(B40/B39)*(B38/B37)*B36</f>
        <v>100</v>
      </c>
      <c r="C45" s="292" t="s">
        <v>76</v>
      </c>
      <c r="D45" s="296">
        <f>D44*$B$30/100</f>
        <v>10.194749999999999</v>
      </c>
      <c r="E45" s="297"/>
      <c r="F45" s="296">
        <f>F44*$B$30/100</f>
        <v>8.3035499999999995</v>
      </c>
      <c r="H45" s="289"/>
    </row>
    <row r="46" spans="1:14" ht="19.5" customHeight="1" x14ac:dyDescent="0.3">
      <c r="A46" s="918" t="s">
        <v>77</v>
      </c>
      <c r="B46" s="919"/>
      <c r="C46" s="292" t="s">
        <v>78</v>
      </c>
      <c r="D46" s="298">
        <f>D45/$B$45</f>
        <v>0.1019475</v>
      </c>
      <c r="E46" s="299"/>
      <c r="F46" s="300">
        <f>F45/$B$45</f>
        <v>8.3035499999999998E-2</v>
      </c>
      <c r="H46" s="289"/>
    </row>
    <row r="47" spans="1:14" ht="27" customHeight="1" x14ac:dyDescent="0.4">
      <c r="A47" s="920"/>
      <c r="B47" s="921"/>
      <c r="C47" s="301" t="s">
        <v>79</v>
      </c>
      <c r="D47" s="302">
        <v>0.08</v>
      </c>
      <c r="E47" s="303"/>
      <c r="F47" s="299"/>
      <c r="H47" s="289"/>
    </row>
    <row r="48" spans="1:14" ht="18.75" x14ac:dyDescent="0.3">
      <c r="C48" s="304" t="s">
        <v>80</v>
      </c>
      <c r="D48" s="296">
        <f>D47*$B$45</f>
        <v>8</v>
      </c>
      <c r="F48" s="305"/>
      <c r="H48" s="289"/>
    </row>
    <row r="49" spans="1:12" ht="19.5" customHeight="1" x14ac:dyDescent="0.3">
      <c r="C49" s="306" t="s">
        <v>81</v>
      </c>
      <c r="D49" s="307">
        <f>D48/B34</f>
        <v>8</v>
      </c>
      <c r="F49" s="305"/>
      <c r="H49" s="289"/>
    </row>
    <row r="50" spans="1:12" ht="18.75" x14ac:dyDescent="0.3">
      <c r="C50" s="261" t="s">
        <v>82</v>
      </c>
      <c r="D50" s="308">
        <f>AVERAGE(E38:E41,G38:G41)</f>
        <v>27397388.850476239</v>
      </c>
      <c r="F50" s="309"/>
      <c r="H50" s="289"/>
    </row>
    <row r="51" spans="1:12" ht="18.75" x14ac:dyDescent="0.3">
      <c r="C51" s="263" t="s">
        <v>83</v>
      </c>
      <c r="D51" s="310">
        <f>STDEV(E38:E41,G38:G41)/D50</f>
        <v>6.4998175520780575E-3</v>
      </c>
      <c r="F51" s="309"/>
      <c r="H51" s="289"/>
    </row>
    <row r="52" spans="1:12" ht="19.5" customHeight="1" x14ac:dyDescent="0.3">
      <c r="C52" s="311" t="s">
        <v>19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84</v>
      </c>
    </row>
    <row r="55" spans="1:12" ht="18.75" x14ac:dyDescent="0.3">
      <c r="A55" s="239" t="s">
        <v>85</v>
      </c>
      <c r="B55" s="315" t="str">
        <f>B21</f>
        <v>RIFAMPICIN 150mg, ISONIAZID 75mg, PYRAZINAMIDE 400mg &amp; ETHAMBUTOL HCl 275mg</v>
      </c>
    </row>
    <row r="56" spans="1:12" ht="26.25" customHeight="1" x14ac:dyDescent="0.4">
      <c r="A56" s="316" t="s">
        <v>86</v>
      </c>
      <c r="B56" s="317">
        <v>75</v>
      </c>
      <c r="C56" s="239" t="str">
        <f>B20</f>
        <v xml:space="preserve"> ISONIAZID</v>
      </c>
      <c r="H56" s="318"/>
    </row>
    <row r="57" spans="1:12" ht="18.75" x14ac:dyDescent="0.3">
      <c r="A57" s="315" t="s">
        <v>87</v>
      </c>
      <c r="B57" s="406">
        <f>Rifampicin!B57</f>
        <v>1262.1402999999998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88</v>
      </c>
      <c r="B59" s="262">
        <v>200</v>
      </c>
      <c r="C59" s="239"/>
      <c r="D59" s="319" t="s">
        <v>89</v>
      </c>
      <c r="E59" s="320" t="s">
        <v>61</v>
      </c>
      <c r="F59" s="320" t="s">
        <v>62</v>
      </c>
      <c r="G59" s="320" t="s">
        <v>90</v>
      </c>
      <c r="H59" s="265" t="s">
        <v>91</v>
      </c>
      <c r="L59" s="251"/>
    </row>
    <row r="60" spans="1:12" s="14" customFormat="1" ht="26.25" customHeight="1" x14ac:dyDescent="0.4">
      <c r="A60" s="263" t="s">
        <v>92</v>
      </c>
      <c r="B60" s="264">
        <v>4</v>
      </c>
      <c r="C60" s="922" t="s">
        <v>93</v>
      </c>
      <c r="D60" s="925">
        <f>Rifampicin!D60</f>
        <v>1279.67</v>
      </c>
      <c r="E60" s="321">
        <v>1</v>
      </c>
      <c r="F60" s="322">
        <v>27281246</v>
      </c>
      <c r="G60" s="407">
        <f>IF(ISBLANK(F60),"-",(F60/$D$50*$D$47*$B$68)*($B$57/$D$60))</f>
        <v>78.569621369678586</v>
      </c>
      <c r="H60" s="323">
        <f t="shared" ref="H60:H71" si="0">IF(ISBLANK(F60),"-",G60/$B$56)</f>
        <v>1.0475949515957146</v>
      </c>
      <c r="L60" s="251"/>
    </row>
    <row r="61" spans="1:12" s="14" customFormat="1" ht="26.25" customHeight="1" x14ac:dyDescent="0.4">
      <c r="A61" s="263" t="s">
        <v>94</v>
      </c>
      <c r="B61" s="264">
        <v>20</v>
      </c>
      <c r="C61" s="923"/>
      <c r="D61" s="926"/>
      <c r="E61" s="324">
        <v>2</v>
      </c>
      <c r="F61" s="276">
        <v>27237921</v>
      </c>
      <c r="G61" s="408">
        <f>IF(ISBLANK(F61),"-",(F61/$D$50*$D$47*$B$68)*($B$57/$D$60))</f>
        <v>78.444845952681845</v>
      </c>
      <c r="H61" s="325">
        <f t="shared" si="0"/>
        <v>1.0459312793690914</v>
      </c>
      <c r="L61" s="251"/>
    </row>
    <row r="62" spans="1:12" s="14" customFormat="1" ht="26.25" customHeight="1" x14ac:dyDescent="0.4">
      <c r="A62" s="263" t="s">
        <v>95</v>
      </c>
      <c r="B62" s="264">
        <v>1</v>
      </c>
      <c r="C62" s="923"/>
      <c r="D62" s="926"/>
      <c r="E62" s="324">
        <v>3</v>
      </c>
      <c r="F62" s="326">
        <v>27309776</v>
      </c>
      <c r="G62" s="408">
        <f>IF(ISBLANK(F62),"-",(F62/$D$50*$D$47*$B$68)*($B$57/$D$60))</f>
        <v>78.651787385764408</v>
      </c>
      <c r="H62" s="325">
        <f t="shared" si="0"/>
        <v>1.0486904984768588</v>
      </c>
      <c r="L62" s="251"/>
    </row>
    <row r="63" spans="1:12" ht="27" customHeight="1" x14ac:dyDescent="0.4">
      <c r="A63" s="263" t="s">
        <v>96</v>
      </c>
      <c r="B63" s="264">
        <v>1</v>
      </c>
      <c r="C63" s="924"/>
      <c r="D63" s="927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97</v>
      </c>
      <c r="B64" s="264">
        <v>1</v>
      </c>
      <c r="C64" s="922" t="s">
        <v>98</v>
      </c>
      <c r="D64" s="925">
        <f>Rifampicin!D64</f>
        <v>1252.19</v>
      </c>
      <c r="E64" s="321">
        <v>1</v>
      </c>
      <c r="F64" s="322">
        <v>25747244</v>
      </c>
      <c r="G64" s="409">
        <f>IF(ISBLANK(F64),"-",(F64/$D$50*$D$47*$B$68)*($B$57/$D$64))</f>
        <v>75.779016551947933</v>
      </c>
      <c r="H64" s="329">
        <f t="shared" si="0"/>
        <v>1.0103868873593058</v>
      </c>
    </row>
    <row r="65" spans="1:8" ht="26.25" customHeight="1" x14ac:dyDescent="0.4">
      <c r="A65" s="263" t="s">
        <v>99</v>
      </c>
      <c r="B65" s="264">
        <v>1</v>
      </c>
      <c r="C65" s="923"/>
      <c r="D65" s="926"/>
      <c r="E65" s="324">
        <v>2</v>
      </c>
      <c r="F65" s="276">
        <v>25829775</v>
      </c>
      <c r="G65" s="410">
        <f>IF(ISBLANK(F65),"-",(F65/$D$50*$D$47*$B$68)*($B$57/$D$64))</f>
        <v>76.021920919306581</v>
      </c>
      <c r="H65" s="330">
        <f t="shared" si="0"/>
        <v>1.013625612257421</v>
      </c>
    </row>
    <row r="66" spans="1:8" ht="26.25" customHeight="1" x14ac:dyDescent="0.4">
      <c r="A66" s="263" t="s">
        <v>100</v>
      </c>
      <c r="B66" s="264">
        <v>1</v>
      </c>
      <c r="C66" s="923"/>
      <c r="D66" s="926"/>
      <c r="E66" s="324">
        <v>3</v>
      </c>
      <c r="F66" s="276">
        <v>25800826</v>
      </c>
      <c r="G66" s="410">
        <f>IF(ISBLANK(F66),"-",(F66/$D$50*$D$47*$B$68)*($B$57/$D$64))</f>
        <v>75.936718528318153</v>
      </c>
      <c r="H66" s="330">
        <f t="shared" si="0"/>
        <v>1.0124895803775753</v>
      </c>
    </row>
    <row r="67" spans="1:8" ht="27" customHeight="1" x14ac:dyDescent="0.4">
      <c r="A67" s="263" t="s">
        <v>101</v>
      </c>
      <c r="B67" s="264">
        <v>1</v>
      </c>
      <c r="C67" s="924"/>
      <c r="D67" s="927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102</v>
      </c>
      <c r="B68" s="332">
        <f>(B67/B66)*(B65/B64)*(B63/B62)*(B61/B60)*B59</f>
        <v>1000</v>
      </c>
      <c r="C68" s="922" t="s">
        <v>103</v>
      </c>
      <c r="D68" s="925">
        <f>Rifampicin!D68</f>
        <v>1254.3399999999999</v>
      </c>
      <c r="E68" s="321">
        <v>1</v>
      </c>
      <c r="F68" s="322">
        <v>25989557</v>
      </c>
      <c r="G68" s="409">
        <f>IF(ISBLANK(F68),"-",(F68/$D$50*$D$47*$B$68)*($B$57/$D$68))</f>
        <v>76.361078266263689</v>
      </c>
      <c r="H68" s="325">
        <f t="shared" si="0"/>
        <v>1.0181477102168492</v>
      </c>
    </row>
    <row r="69" spans="1:8" ht="27" customHeight="1" x14ac:dyDescent="0.4">
      <c r="A69" s="311" t="s">
        <v>104</v>
      </c>
      <c r="B69" s="333">
        <f>(D47*B68)/B56*B57</f>
        <v>1346.2829866666664</v>
      </c>
      <c r="C69" s="923"/>
      <c r="D69" s="926"/>
      <c r="E69" s="324">
        <v>2</v>
      </c>
      <c r="F69" s="276">
        <v>25904258</v>
      </c>
      <c r="G69" s="410">
        <f>IF(ISBLANK(F69),"-",(F69/$D$50*$D$47*$B$68)*($B$57/$D$68))</f>
        <v>76.110457464414935</v>
      </c>
      <c r="H69" s="325">
        <f t="shared" si="0"/>
        <v>1.0148060995255326</v>
      </c>
    </row>
    <row r="70" spans="1:8" ht="26.25" customHeight="1" x14ac:dyDescent="0.4">
      <c r="A70" s="935" t="s">
        <v>77</v>
      </c>
      <c r="B70" s="936"/>
      <c r="C70" s="923"/>
      <c r="D70" s="926"/>
      <c r="E70" s="324">
        <v>3</v>
      </c>
      <c r="F70" s="276">
        <v>26043028</v>
      </c>
      <c r="G70" s="410">
        <f>IF(ISBLANK(F70),"-",(F70/$D$50*$D$47*$B$68)*($B$57/$D$68))</f>
        <v>76.518183799689098</v>
      </c>
      <c r="H70" s="325">
        <f t="shared" si="0"/>
        <v>1.0202424506625214</v>
      </c>
    </row>
    <row r="71" spans="1:8" ht="27" customHeight="1" x14ac:dyDescent="0.4">
      <c r="A71" s="937"/>
      <c r="B71" s="938"/>
      <c r="C71" s="934"/>
      <c r="D71" s="927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70</v>
      </c>
      <c r="G72" s="416">
        <f>AVERAGE(G60:G71)</f>
        <v>76.932625582007248</v>
      </c>
      <c r="H72" s="338">
        <f>AVERAGE(H60:H71)</f>
        <v>1.0257683410934302</v>
      </c>
    </row>
    <row r="73" spans="1:8" ht="26.25" customHeight="1" x14ac:dyDescent="0.4">
      <c r="C73" s="335"/>
      <c r="D73" s="335"/>
      <c r="E73" s="335"/>
      <c r="F73" s="339" t="s">
        <v>83</v>
      </c>
      <c r="G73" s="412">
        <f>STDEV(G60:G71)/G72</f>
        <v>1.6083697399736523E-2</v>
      </c>
      <c r="H73" s="412">
        <f>STDEV(H60:H71)/H72</f>
        <v>1.6083697399736547E-2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19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105</v>
      </c>
      <c r="B76" s="343" t="s">
        <v>106</v>
      </c>
      <c r="C76" s="930" t="str">
        <f>B20</f>
        <v xml:space="preserve"> ISONIAZID</v>
      </c>
      <c r="D76" s="930"/>
      <c r="E76" s="344" t="s">
        <v>107</v>
      </c>
      <c r="F76" s="344"/>
      <c r="G76" s="345">
        <f>H72</f>
        <v>1.0257683410934302</v>
      </c>
      <c r="H76" s="346"/>
    </row>
    <row r="77" spans="1:8" ht="18.75" x14ac:dyDescent="0.3">
      <c r="A77" s="246" t="s">
        <v>108</v>
      </c>
      <c r="B77" s="246" t="s">
        <v>109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916" t="str">
        <f>B26</f>
        <v>ISONIAZID</v>
      </c>
      <c r="C79" s="916"/>
    </row>
    <row r="80" spans="1:8" ht="26.25" customHeight="1" x14ac:dyDescent="0.4">
      <c r="A80" s="248" t="s">
        <v>47</v>
      </c>
      <c r="B80" s="916" t="str">
        <f>B27</f>
        <v xml:space="preserve">I8 2 </v>
      </c>
      <c r="C80" s="916"/>
    </row>
    <row r="81" spans="1:12" ht="27" customHeight="1" x14ac:dyDescent="0.4">
      <c r="A81" s="248" t="s">
        <v>6</v>
      </c>
      <c r="B81" s="347">
        <f>B28</f>
        <v>98.5</v>
      </c>
    </row>
    <row r="82" spans="1:12" s="14" customFormat="1" ht="27" customHeight="1" x14ac:dyDescent="0.4">
      <c r="A82" s="248" t="s">
        <v>48</v>
      </c>
      <c r="B82" s="250">
        <v>0</v>
      </c>
      <c r="C82" s="907" t="s">
        <v>49</v>
      </c>
      <c r="D82" s="908"/>
      <c r="E82" s="908"/>
      <c r="F82" s="908"/>
      <c r="G82" s="909"/>
      <c r="I82" s="251"/>
      <c r="J82" s="251"/>
      <c r="K82" s="251"/>
      <c r="L82" s="251"/>
    </row>
    <row r="83" spans="1:12" s="14" customFormat="1" ht="19.5" customHeight="1" x14ac:dyDescent="0.3">
      <c r="A83" s="248" t="s">
        <v>50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51</v>
      </c>
      <c r="B84" s="255">
        <v>1</v>
      </c>
      <c r="C84" s="910" t="s">
        <v>110</v>
      </c>
      <c r="D84" s="911"/>
      <c r="E84" s="911"/>
      <c r="F84" s="911"/>
      <c r="G84" s="911"/>
      <c r="H84" s="912"/>
      <c r="I84" s="251"/>
      <c r="J84" s="251"/>
      <c r="K84" s="251"/>
      <c r="L84" s="251"/>
    </row>
    <row r="85" spans="1:12" s="14" customFormat="1" ht="27" customHeight="1" x14ac:dyDescent="0.4">
      <c r="A85" s="248" t="s">
        <v>53</v>
      </c>
      <c r="B85" s="255">
        <v>1</v>
      </c>
      <c r="C85" s="910" t="s">
        <v>111</v>
      </c>
      <c r="D85" s="911"/>
      <c r="E85" s="911"/>
      <c r="F85" s="911"/>
      <c r="G85" s="911"/>
      <c r="H85" s="912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55</v>
      </c>
      <c r="B87" s="260">
        <f>B84/B85</f>
        <v>1</v>
      </c>
      <c r="C87" s="239" t="s">
        <v>56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57</v>
      </c>
      <c r="B89" s="262">
        <v>100</v>
      </c>
      <c r="D89" s="348" t="s">
        <v>58</v>
      </c>
      <c r="E89" s="349"/>
      <c r="F89" s="913" t="s">
        <v>59</v>
      </c>
      <c r="G89" s="915"/>
    </row>
    <row r="90" spans="1:12" ht="27" customHeight="1" x14ac:dyDescent="0.4">
      <c r="A90" s="263" t="s">
        <v>60</v>
      </c>
      <c r="B90" s="264">
        <v>1</v>
      </c>
      <c r="C90" s="350" t="s">
        <v>61</v>
      </c>
      <c r="D90" s="266" t="s">
        <v>62</v>
      </c>
      <c r="E90" s="267" t="s">
        <v>63</v>
      </c>
      <c r="F90" s="266" t="s">
        <v>62</v>
      </c>
      <c r="G90" s="351" t="s">
        <v>63</v>
      </c>
      <c r="I90" s="269" t="s">
        <v>64</v>
      </c>
    </row>
    <row r="91" spans="1:12" ht="26.25" customHeight="1" x14ac:dyDescent="0.4">
      <c r="A91" s="263" t="s">
        <v>65</v>
      </c>
      <c r="B91" s="264">
        <v>1</v>
      </c>
      <c r="C91" s="352">
        <v>1</v>
      </c>
      <c r="D91" s="600">
        <v>34697044</v>
      </c>
      <c r="E91" s="272">
        <f>IF(ISBLANK(D91),"-",$D$101/$D$98*D91)</f>
        <v>28361856.184147067</v>
      </c>
      <c r="F91" s="600">
        <v>28600651</v>
      </c>
      <c r="G91" s="273">
        <f>IF(ISBLANK(F91),"-",$D$101/$F$98*F91)</f>
        <v>28703236.36677485</v>
      </c>
      <c r="I91" s="274"/>
    </row>
    <row r="92" spans="1:12" ht="26.25" customHeight="1" x14ac:dyDescent="0.4">
      <c r="A92" s="263" t="s">
        <v>66</v>
      </c>
      <c r="B92" s="264">
        <v>1</v>
      </c>
      <c r="C92" s="336">
        <v>2</v>
      </c>
      <c r="D92" s="601">
        <v>34760577</v>
      </c>
      <c r="E92" s="277">
        <f>IF(ISBLANK(D92),"-",$D$101/$D$98*D92)</f>
        <v>28413788.96000392</v>
      </c>
      <c r="F92" s="601">
        <v>28667372</v>
      </c>
      <c r="G92" s="278">
        <f>IF(ISBLANK(F92),"-",$D$101/$F$98*F92)</f>
        <v>28770196.682944842</v>
      </c>
      <c r="I92" s="917">
        <f>ABS((F96/D96*D95)-F95)/D95</f>
        <v>9.3895847483465873E-3</v>
      </c>
    </row>
    <row r="93" spans="1:12" ht="26.25" customHeight="1" x14ac:dyDescent="0.4">
      <c r="A93" s="263" t="s">
        <v>67</v>
      </c>
      <c r="B93" s="264">
        <v>1</v>
      </c>
      <c r="C93" s="336">
        <v>3</v>
      </c>
      <c r="D93" s="601">
        <v>34683178</v>
      </c>
      <c r="E93" s="277">
        <f>IF(ISBLANK(D93),"-",$D$101/$D$98*D93)</f>
        <v>28350521.918961555</v>
      </c>
      <c r="F93" s="601">
        <v>28531742</v>
      </c>
      <c r="G93" s="278">
        <f>IF(ISBLANK(F93),"-",$D$101/$F$98*F93)</f>
        <v>28634080.202644248</v>
      </c>
      <c r="I93" s="917"/>
    </row>
    <row r="94" spans="1:12" ht="27" customHeight="1" x14ac:dyDescent="0.4">
      <c r="A94" s="263" t="s">
        <v>68</v>
      </c>
      <c r="B94" s="264">
        <v>1</v>
      </c>
      <c r="C94" s="353">
        <v>4</v>
      </c>
      <c r="D94" s="602"/>
      <c r="E94" s="282" t="str">
        <f>IF(ISBLANK(D94),"-",$D$101/$D$98*D94)</f>
        <v>-</v>
      </c>
      <c r="F94" s="602"/>
      <c r="G94" s="283" t="str">
        <f>IF(ISBLANK(F94),"-",$D$101/$F$98*F94)</f>
        <v>-</v>
      </c>
      <c r="I94" s="284"/>
    </row>
    <row r="95" spans="1:12" ht="27" customHeight="1" x14ac:dyDescent="0.4">
      <c r="A95" s="263" t="s">
        <v>69</v>
      </c>
      <c r="B95" s="264">
        <v>1</v>
      </c>
      <c r="C95" s="354" t="s">
        <v>70</v>
      </c>
      <c r="D95" s="355">
        <f>AVERAGE(D91:D94)</f>
        <v>34713599.666666664</v>
      </c>
      <c r="E95" s="287">
        <f>AVERAGE(E91:E94)</f>
        <v>28375389.021037515</v>
      </c>
      <c r="F95" s="356">
        <f>AVERAGE(F91:F94)</f>
        <v>28599921.666666668</v>
      </c>
      <c r="G95" s="357">
        <f>AVERAGE(G91:G94)</f>
        <v>28702504.417454645</v>
      </c>
    </row>
    <row r="96" spans="1:12" ht="26.25" customHeight="1" x14ac:dyDescent="0.4">
      <c r="A96" s="263" t="s">
        <v>71</v>
      </c>
      <c r="B96" s="249">
        <v>1</v>
      </c>
      <c r="C96" s="358" t="s">
        <v>112</v>
      </c>
      <c r="D96" s="359">
        <f>D43</f>
        <v>10.35</v>
      </c>
      <c r="E96" s="279"/>
      <c r="F96" s="291">
        <f>F43</f>
        <v>8.43</v>
      </c>
    </row>
    <row r="97" spans="1:10" ht="26.25" customHeight="1" x14ac:dyDescent="0.4">
      <c r="A97" s="263" t="s">
        <v>73</v>
      </c>
      <c r="B97" s="249">
        <v>1</v>
      </c>
      <c r="C97" s="360" t="s">
        <v>113</v>
      </c>
      <c r="D97" s="361">
        <f>D96*$B$87</f>
        <v>10.35</v>
      </c>
      <c r="E97" s="294"/>
      <c r="F97" s="293">
        <f>F96*$B$87</f>
        <v>8.43</v>
      </c>
    </row>
    <row r="98" spans="1:10" ht="19.5" customHeight="1" x14ac:dyDescent="0.3">
      <c r="A98" s="263" t="s">
        <v>75</v>
      </c>
      <c r="B98" s="362">
        <f>(B97/B96)*(B95/B94)*(B93/B92)*(B91/B90)*B89</f>
        <v>100</v>
      </c>
      <c r="C98" s="360" t="s">
        <v>114</v>
      </c>
      <c r="D98" s="363">
        <f>D97*$B$83/100</f>
        <v>10.194749999999999</v>
      </c>
      <c r="E98" s="297"/>
      <c r="F98" s="296">
        <f>F97*$B$83/100</f>
        <v>8.3035499999999995</v>
      </c>
    </row>
    <row r="99" spans="1:10" ht="19.5" customHeight="1" x14ac:dyDescent="0.3">
      <c r="A99" s="918" t="s">
        <v>77</v>
      </c>
      <c r="B99" s="932"/>
      <c r="C99" s="360" t="s">
        <v>115</v>
      </c>
      <c r="D99" s="364">
        <f>D98/$B$98</f>
        <v>0.1019475</v>
      </c>
      <c r="E99" s="297"/>
      <c r="F99" s="300">
        <f>F98/$B$98</f>
        <v>8.3035499999999998E-2</v>
      </c>
      <c r="G99" s="365"/>
      <c r="H99" s="289"/>
    </row>
    <row r="100" spans="1:10" ht="19.5" customHeight="1" x14ac:dyDescent="0.3">
      <c r="A100" s="920"/>
      <c r="B100" s="933"/>
      <c r="C100" s="360" t="s">
        <v>79</v>
      </c>
      <c r="D100" s="366">
        <f>$B$56/$B$116</f>
        <v>8.3333333333333329E-2</v>
      </c>
      <c r="F100" s="305"/>
      <c r="G100" s="367"/>
      <c r="H100" s="289"/>
    </row>
    <row r="101" spans="1:10" ht="18.75" x14ac:dyDescent="0.3">
      <c r="C101" s="360" t="s">
        <v>80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">
      <c r="C102" s="368" t="s">
        <v>81</v>
      </c>
      <c r="D102" s="369">
        <f>D101/B34</f>
        <v>8.3333333333333321</v>
      </c>
      <c r="F102" s="309"/>
      <c r="G102" s="365"/>
      <c r="H102" s="289"/>
      <c r="J102" s="370"/>
    </row>
    <row r="103" spans="1:10" ht="18.75" x14ac:dyDescent="0.3">
      <c r="C103" s="371" t="s">
        <v>116</v>
      </c>
      <c r="D103" s="372">
        <f>AVERAGE(E91:E94,G91:G94)</f>
        <v>28538946.719246078</v>
      </c>
      <c r="F103" s="309"/>
      <c r="G103" s="373"/>
      <c r="H103" s="289"/>
      <c r="J103" s="374"/>
    </row>
    <row r="104" spans="1:10" ht="18.75" x14ac:dyDescent="0.3">
      <c r="C104" s="339" t="s">
        <v>83</v>
      </c>
      <c r="D104" s="375">
        <f>STDEV(E91:E94,G91:G94)/D103</f>
        <v>6.4998175520780549E-3</v>
      </c>
      <c r="F104" s="309"/>
      <c r="G104" s="365"/>
      <c r="H104" s="289"/>
      <c r="J104" s="374"/>
    </row>
    <row r="105" spans="1:10" ht="19.5" customHeight="1" x14ac:dyDescent="0.3">
      <c r="C105" s="341" t="s">
        <v>19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117</v>
      </c>
      <c r="B107" s="262">
        <v>900</v>
      </c>
      <c r="C107" s="377" t="s">
        <v>118</v>
      </c>
      <c r="D107" s="378" t="s">
        <v>62</v>
      </c>
      <c r="E107" s="379" t="s">
        <v>119</v>
      </c>
      <c r="F107" s="380" t="s">
        <v>120</v>
      </c>
    </row>
    <row r="108" spans="1:10" ht="26.25" customHeight="1" x14ac:dyDescent="0.4">
      <c r="A108" s="263" t="s">
        <v>121</v>
      </c>
      <c r="B108" s="264">
        <v>1</v>
      </c>
      <c r="C108" s="381">
        <v>1</v>
      </c>
      <c r="D108" s="382">
        <v>25923511</v>
      </c>
      <c r="E108" s="413">
        <f t="shared" ref="E108:E113" si="1">IF(ISBLANK(D108),"-",D108/$D$103*$D$100*$B$116)</f>
        <v>68.126667186663511</v>
      </c>
      <c r="F108" s="383">
        <f t="shared" ref="F108:F113" si="2">IF(ISBLANK(D108), "-", E108/$B$56)</f>
        <v>0.90835556248884686</v>
      </c>
    </row>
    <row r="109" spans="1:10" ht="26.25" customHeight="1" x14ac:dyDescent="0.4">
      <c r="A109" s="263" t="s">
        <v>94</v>
      </c>
      <c r="B109" s="264">
        <v>1</v>
      </c>
      <c r="C109" s="381">
        <v>2</v>
      </c>
      <c r="D109" s="382">
        <v>25788967</v>
      </c>
      <c r="E109" s="414">
        <f t="shared" si="1"/>
        <v>67.773087214029303</v>
      </c>
      <c r="F109" s="384">
        <f t="shared" si="2"/>
        <v>0.90364116285372409</v>
      </c>
    </row>
    <row r="110" spans="1:10" ht="26.25" customHeight="1" x14ac:dyDescent="0.4">
      <c r="A110" s="263" t="s">
        <v>95</v>
      </c>
      <c r="B110" s="264">
        <v>1</v>
      </c>
      <c r="C110" s="381">
        <v>3</v>
      </c>
      <c r="D110" s="382">
        <v>25740759</v>
      </c>
      <c r="E110" s="414">
        <f t="shared" si="1"/>
        <v>67.646397184590981</v>
      </c>
      <c r="F110" s="384">
        <f t="shared" si="2"/>
        <v>0.90195196246121312</v>
      </c>
    </row>
    <row r="111" spans="1:10" ht="26.25" customHeight="1" x14ac:dyDescent="0.4">
      <c r="A111" s="263" t="s">
        <v>96</v>
      </c>
      <c r="B111" s="264">
        <v>1</v>
      </c>
      <c r="C111" s="381">
        <v>4</v>
      </c>
      <c r="D111" s="382">
        <v>25835012</v>
      </c>
      <c r="E111" s="414">
        <f t="shared" si="1"/>
        <v>67.894092906144465</v>
      </c>
      <c r="F111" s="384">
        <f t="shared" si="2"/>
        <v>0.90525457208192617</v>
      </c>
    </row>
    <row r="112" spans="1:10" ht="26.25" customHeight="1" x14ac:dyDescent="0.4">
      <c r="A112" s="263" t="s">
        <v>97</v>
      </c>
      <c r="B112" s="264">
        <v>1</v>
      </c>
      <c r="C112" s="381">
        <v>5</v>
      </c>
      <c r="D112" s="382">
        <v>25746479</v>
      </c>
      <c r="E112" s="414">
        <f t="shared" si="1"/>
        <v>67.66142927404475</v>
      </c>
      <c r="F112" s="384">
        <f t="shared" si="2"/>
        <v>0.90215239032059669</v>
      </c>
    </row>
    <row r="113" spans="1:10" ht="26.25" customHeight="1" x14ac:dyDescent="0.4">
      <c r="A113" s="263" t="s">
        <v>99</v>
      </c>
      <c r="B113" s="264">
        <v>1</v>
      </c>
      <c r="C113" s="385">
        <v>6</v>
      </c>
      <c r="D113" s="386">
        <v>25868909</v>
      </c>
      <c r="E113" s="415">
        <f t="shared" si="1"/>
        <v>67.983173804084032</v>
      </c>
      <c r="F113" s="387">
        <f t="shared" si="2"/>
        <v>0.90644231738778713</v>
      </c>
    </row>
    <row r="114" spans="1:10" ht="26.25" customHeight="1" x14ac:dyDescent="0.4">
      <c r="A114" s="263" t="s">
        <v>100</v>
      </c>
      <c r="B114" s="264">
        <v>1</v>
      </c>
      <c r="C114" s="381"/>
      <c r="D114" s="336"/>
      <c r="E114" s="238"/>
      <c r="F114" s="388"/>
    </row>
    <row r="115" spans="1:10" ht="26.25" customHeight="1" x14ac:dyDescent="0.4">
      <c r="A115" s="263" t="s">
        <v>101</v>
      </c>
      <c r="B115" s="264">
        <v>1</v>
      </c>
      <c r="C115" s="381"/>
      <c r="D115" s="389" t="s">
        <v>70</v>
      </c>
      <c r="E115" s="417">
        <f>AVERAGE(E108:E113)</f>
        <v>67.847474594926169</v>
      </c>
      <c r="F115" s="390">
        <f>AVERAGE(F108:F113)</f>
        <v>0.90463299459901558</v>
      </c>
    </row>
    <row r="116" spans="1:10" ht="27" customHeight="1" x14ac:dyDescent="0.4">
      <c r="A116" s="263" t="s">
        <v>102</v>
      </c>
      <c r="B116" s="295">
        <f>(B115/B114)*(B113/B112)*(B111/B110)*(B109/B108)*B107</f>
        <v>900</v>
      </c>
      <c r="C116" s="391"/>
      <c r="D116" s="354" t="s">
        <v>83</v>
      </c>
      <c r="E116" s="392">
        <f>STDEV(E108:E113)/E115</f>
        <v>2.7896306159544385E-3</v>
      </c>
      <c r="F116" s="392">
        <f>STDEV(F108:F113)/F115</f>
        <v>2.7896306159544398E-3</v>
      </c>
      <c r="I116" s="238"/>
    </row>
    <row r="117" spans="1:10" ht="27" customHeight="1" x14ac:dyDescent="0.4">
      <c r="A117" s="918" t="s">
        <v>77</v>
      </c>
      <c r="B117" s="919"/>
      <c r="C117" s="393"/>
      <c r="D117" s="394" t="s">
        <v>19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">
      <c r="A118" s="920"/>
      <c r="B118" s="921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105</v>
      </c>
      <c r="B120" s="343" t="s">
        <v>122</v>
      </c>
      <c r="C120" s="930" t="str">
        <f>B20</f>
        <v xml:space="preserve"> ISONIAZID</v>
      </c>
      <c r="D120" s="930"/>
      <c r="E120" s="344" t="s">
        <v>123</v>
      </c>
      <c r="F120" s="344"/>
      <c r="G120" s="345">
        <f>F115</f>
        <v>0.90463299459901558</v>
      </c>
      <c r="H120" s="238"/>
      <c r="I120" s="238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931" t="s">
        <v>25</v>
      </c>
      <c r="C122" s="931"/>
      <c r="E122" s="350" t="s">
        <v>26</v>
      </c>
      <c r="F122" s="398"/>
      <c r="G122" s="931" t="s">
        <v>27</v>
      </c>
      <c r="H122" s="931"/>
    </row>
    <row r="123" spans="1:10" ht="69.95" customHeight="1" x14ac:dyDescent="0.3">
      <c r="A123" s="399" t="s">
        <v>28</v>
      </c>
      <c r="B123" s="400"/>
      <c r="C123" s="400"/>
      <c r="E123" s="400"/>
      <c r="F123" s="238"/>
      <c r="G123" s="401"/>
      <c r="H123" s="401"/>
    </row>
    <row r="124" spans="1:10" ht="69.95" customHeight="1" x14ac:dyDescent="0.3">
      <c r="A124" s="399" t="s">
        <v>29</v>
      </c>
      <c r="B124" s="402"/>
      <c r="C124" s="402"/>
      <c r="E124" s="402"/>
      <c r="F124" s="238"/>
      <c r="G124" s="403"/>
      <c r="H124" s="403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H49" sqref="H49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30.85546875" style="604" customWidth="1"/>
    <col min="5" max="5" width="29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39" t="s">
        <v>0</v>
      </c>
      <c r="B15" s="939"/>
      <c r="C15" s="939"/>
      <c r="D15" s="939"/>
      <c r="E15" s="939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134</v>
      </c>
      <c r="C18" s="53"/>
      <c r="D18" s="53"/>
      <c r="E18" s="53"/>
    </row>
    <row r="19" spans="1:5" ht="16.5" customHeight="1" x14ac:dyDescent="0.3">
      <c r="A19" s="55" t="s">
        <v>6</v>
      </c>
      <c r="B19" s="609" t="str">
        <f>'SST I'!B19</f>
        <v>NDQD2016061089</v>
      </c>
      <c r="C19" s="53"/>
      <c r="D19" s="53"/>
      <c r="E19" s="53"/>
    </row>
    <row r="20" spans="1:5" ht="16.5" customHeight="1" x14ac:dyDescent="0.3">
      <c r="A20" s="8" t="s">
        <v>7</v>
      </c>
      <c r="B20" s="12">
        <v>39.79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0.39789999999999998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86188438</v>
      </c>
      <c r="C24" s="18">
        <v>5967.36</v>
      </c>
      <c r="D24" s="19">
        <v>1.1299999999999999</v>
      </c>
      <c r="E24" s="20">
        <v>2.93</v>
      </c>
    </row>
    <row r="25" spans="1:5" ht="16.5" customHeight="1" x14ac:dyDescent="0.3">
      <c r="A25" s="17">
        <v>2</v>
      </c>
      <c r="B25" s="18">
        <v>86369711</v>
      </c>
      <c r="C25" s="18">
        <v>6009.49</v>
      </c>
      <c r="D25" s="19">
        <v>1.1599999999999999</v>
      </c>
      <c r="E25" s="19">
        <v>2.93</v>
      </c>
    </row>
    <row r="26" spans="1:5" ht="16.5" customHeight="1" x14ac:dyDescent="0.3">
      <c r="A26" s="17">
        <v>3</v>
      </c>
      <c r="B26" s="18">
        <v>86221795</v>
      </c>
      <c r="C26" s="18">
        <v>6064.13</v>
      </c>
      <c r="D26" s="19">
        <v>1.1399999999999999</v>
      </c>
      <c r="E26" s="19">
        <v>2.93</v>
      </c>
    </row>
    <row r="27" spans="1:5" ht="16.5" customHeight="1" x14ac:dyDescent="0.3">
      <c r="A27" s="17">
        <v>4</v>
      </c>
      <c r="B27" s="18">
        <v>86366460</v>
      </c>
      <c r="C27" s="18">
        <v>6126.98</v>
      </c>
      <c r="D27" s="19">
        <v>1.1499999999999999</v>
      </c>
      <c r="E27" s="19">
        <v>2.93</v>
      </c>
    </row>
    <row r="28" spans="1:5" ht="16.5" customHeight="1" x14ac:dyDescent="0.3">
      <c r="A28" s="17">
        <v>5</v>
      </c>
      <c r="B28" s="18">
        <v>86391693</v>
      </c>
      <c r="C28" s="18">
        <v>5964.5</v>
      </c>
      <c r="D28" s="19">
        <v>1.1399999999999999</v>
      </c>
      <c r="E28" s="19">
        <v>2.94</v>
      </c>
    </row>
    <row r="29" spans="1:5" ht="16.5" customHeight="1" x14ac:dyDescent="0.3">
      <c r="A29" s="17">
        <v>6</v>
      </c>
      <c r="B29" s="21">
        <v>86590258</v>
      </c>
      <c r="C29" s="21">
        <v>6006.37</v>
      </c>
      <c r="D29" s="22">
        <v>1.1599999999999999</v>
      </c>
      <c r="E29" s="22">
        <v>2.94</v>
      </c>
    </row>
    <row r="30" spans="1:5" ht="16.5" customHeight="1" x14ac:dyDescent="0.3">
      <c r="A30" s="23" t="s">
        <v>17</v>
      </c>
      <c r="B30" s="24">
        <f>AVERAGE(B24:B29)</f>
        <v>86354725.833333328</v>
      </c>
      <c r="C30" s="25">
        <f>AVERAGE(C24:C29)</f>
        <v>6023.1383333333333</v>
      </c>
      <c r="D30" s="26">
        <f>AVERAGE(D24:D29)</f>
        <v>1.1466666666666667</v>
      </c>
      <c r="E30" s="26">
        <f>AVERAGE(E24:E29)</f>
        <v>2.9333333333333336</v>
      </c>
    </row>
    <row r="31" spans="1:5" ht="16.5" customHeight="1" x14ac:dyDescent="0.3">
      <c r="A31" s="27" t="s">
        <v>18</v>
      </c>
      <c r="B31" s="28">
        <f>(STDEV(B24:B29)/B30)</f>
        <v>1.6582380948881592E-3</v>
      </c>
      <c r="C31" s="29"/>
      <c r="D31" s="29"/>
      <c r="E31" s="30"/>
    </row>
    <row r="32" spans="1:5" s="604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7" t="s">
        <v>134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133</v>
      </c>
      <c r="C40" s="53"/>
      <c r="D40" s="53"/>
      <c r="E40" s="53"/>
    </row>
    <row r="41" spans="1:5" ht="16.5" customHeight="1" x14ac:dyDescent="0.3">
      <c r="A41" s="8" t="s">
        <v>7</v>
      </c>
      <c r="B41" s="12">
        <f>B20</f>
        <v>39.79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B41/100</f>
        <v>0.39789999999999998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86188438</v>
      </c>
      <c r="C45" s="18">
        <v>5967.36</v>
      </c>
      <c r="D45" s="19">
        <v>1.1299999999999999</v>
      </c>
      <c r="E45" s="20">
        <v>2.93</v>
      </c>
    </row>
    <row r="46" spans="1:5" ht="16.5" customHeight="1" x14ac:dyDescent="0.3">
      <c r="A46" s="17">
        <v>2</v>
      </c>
      <c r="B46" s="18">
        <v>86369711</v>
      </c>
      <c r="C46" s="18">
        <v>6009.49</v>
      </c>
      <c r="D46" s="19">
        <v>1.1599999999999999</v>
      </c>
      <c r="E46" s="19">
        <v>2.93</v>
      </c>
    </row>
    <row r="47" spans="1:5" ht="16.5" customHeight="1" x14ac:dyDescent="0.3">
      <c r="A47" s="17">
        <v>3</v>
      </c>
      <c r="B47" s="18">
        <v>86221795</v>
      </c>
      <c r="C47" s="18">
        <v>6064.13</v>
      </c>
      <c r="D47" s="19">
        <v>1.1399999999999999</v>
      </c>
      <c r="E47" s="19">
        <v>2.93</v>
      </c>
    </row>
    <row r="48" spans="1:5" ht="16.5" customHeight="1" x14ac:dyDescent="0.3">
      <c r="A48" s="17">
        <v>4</v>
      </c>
      <c r="B48" s="18">
        <v>86366460</v>
      </c>
      <c r="C48" s="18">
        <v>6126.98</v>
      </c>
      <c r="D48" s="19">
        <v>1.1499999999999999</v>
      </c>
      <c r="E48" s="19">
        <v>2.93</v>
      </c>
    </row>
    <row r="49" spans="1:7" ht="16.5" customHeight="1" x14ac:dyDescent="0.3">
      <c r="A49" s="17">
        <v>5</v>
      </c>
      <c r="B49" s="18">
        <v>86391693</v>
      </c>
      <c r="C49" s="18">
        <v>5964.5</v>
      </c>
      <c r="D49" s="19">
        <v>1.1399999999999999</v>
      </c>
      <c r="E49" s="19">
        <v>2.94</v>
      </c>
    </row>
    <row r="50" spans="1:7" ht="16.5" customHeight="1" x14ac:dyDescent="0.3">
      <c r="A50" s="17">
        <v>6</v>
      </c>
      <c r="B50" s="21">
        <v>86590258</v>
      </c>
      <c r="C50" s="21">
        <v>6006.37</v>
      </c>
      <c r="D50" s="22">
        <v>1.1599999999999999</v>
      </c>
      <c r="E50" s="22">
        <v>2.94</v>
      </c>
    </row>
    <row r="51" spans="1:7" ht="16.5" customHeight="1" x14ac:dyDescent="0.3">
      <c r="A51" s="23" t="s">
        <v>17</v>
      </c>
      <c r="B51" s="24">
        <f>AVERAGE(B45:B50)</f>
        <v>86354725.833333328</v>
      </c>
      <c r="C51" s="25">
        <f>AVERAGE(C45:C50)</f>
        <v>6023.1383333333333</v>
      </c>
      <c r="D51" s="26">
        <f>AVERAGE(D45:D50)</f>
        <v>1.1466666666666667</v>
      </c>
      <c r="E51" s="26">
        <f>AVERAGE(E45:E50)</f>
        <v>2.9333333333333336</v>
      </c>
    </row>
    <row r="52" spans="1:7" ht="16.5" customHeight="1" x14ac:dyDescent="0.3">
      <c r="A52" s="27" t="s">
        <v>18</v>
      </c>
      <c r="B52" s="28">
        <f>(STDEV(B45:B50)/B51)</f>
        <v>1.6582380948881592E-3</v>
      </c>
      <c r="C52" s="29"/>
      <c r="D52" s="29"/>
      <c r="E52" s="30"/>
    </row>
    <row r="53" spans="1:7" s="604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40" t="s">
        <v>25</v>
      </c>
      <c r="C59" s="940"/>
      <c r="E59" s="605" t="s">
        <v>26</v>
      </c>
      <c r="F59" s="46"/>
      <c r="G59" s="60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8" zoomScale="60" zoomScaleNormal="40" zoomScalePageLayoutView="60" workbookViewId="0">
      <selection activeCell="E120" sqref="E120: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8" t="s">
        <v>44</v>
      </c>
      <c r="B1" s="928"/>
      <c r="C1" s="928"/>
      <c r="D1" s="928"/>
      <c r="E1" s="928"/>
      <c r="F1" s="928"/>
      <c r="G1" s="928"/>
      <c r="H1" s="928"/>
      <c r="I1" s="928"/>
    </row>
    <row r="2" spans="1:9" ht="18.75" customHeight="1" x14ac:dyDescent="0.25">
      <c r="A2" s="928"/>
      <c r="B2" s="928"/>
      <c r="C2" s="928"/>
      <c r="D2" s="928"/>
      <c r="E2" s="928"/>
      <c r="F2" s="928"/>
      <c r="G2" s="928"/>
      <c r="H2" s="928"/>
      <c r="I2" s="928"/>
    </row>
    <row r="3" spans="1:9" ht="18.75" customHeight="1" x14ac:dyDescent="0.25">
      <c r="A3" s="928"/>
      <c r="B3" s="928"/>
      <c r="C3" s="928"/>
      <c r="D3" s="928"/>
      <c r="E3" s="928"/>
      <c r="F3" s="928"/>
      <c r="G3" s="928"/>
      <c r="H3" s="928"/>
      <c r="I3" s="928"/>
    </row>
    <row r="4" spans="1:9" ht="18.75" customHeight="1" x14ac:dyDescent="0.25">
      <c r="A4" s="928"/>
      <c r="B4" s="928"/>
      <c r="C4" s="928"/>
      <c r="D4" s="928"/>
      <c r="E4" s="928"/>
      <c r="F4" s="928"/>
      <c r="G4" s="928"/>
      <c r="H4" s="928"/>
      <c r="I4" s="928"/>
    </row>
    <row r="5" spans="1:9" ht="18.75" customHeight="1" x14ac:dyDescent="0.25">
      <c r="A5" s="928"/>
      <c r="B5" s="928"/>
      <c r="C5" s="928"/>
      <c r="D5" s="928"/>
      <c r="E5" s="928"/>
      <c r="F5" s="928"/>
      <c r="G5" s="928"/>
      <c r="H5" s="928"/>
      <c r="I5" s="928"/>
    </row>
    <row r="6" spans="1:9" ht="18.75" customHeight="1" x14ac:dyDescent="0.25">
      <c r="A6" s="928"/>
      <c r="B6" s="928"/>
      <c r="C6" s="928"/>
      <c r="D6" s="928"/>
      <c r="E6" s="928"/>
      <c r="F6" s="928"/>
      <c r="G6" s="928"/>
      <c r="H6" s="928"/>
      <c r="I6" s="928"/>
    </row>
    <row r="7" spans="1:9" ht="18.75" customHeight="1" x14ac:dyDescent="0.25">
      <c r="A7" s="928"/>
      <c r="B7" s="928"/>
      <c r="C7" s="928"/>
      <c r="D7" s="928"/>
      <c r="E7" s="928"/>
      <c r="F7" s="928"/>
      <c r="G7" s="928"/>
      <c r="H7" s="928"/>
      <c r="I7" s="928"/>
    </row>
    <row r="8" spans="1:9" x14ac:dyDescent="0.25">
      <c r="A8" s="929" t="s">
        <v>45</v>
      </c>
      <c r="B8" s="929"/>
      <c r="C8" s="929"/>
      <c r="D8" s="929"/>
      <c r="E8" s="929"/>
      <c r="F8" s="929"/>
      <c r="G8" s="929"/>
      <c r="H8" s="929"/>
      <c r="I8" s="929"/>
    </row>
    <row r="9" spans="1:9" x14ac:dyDescent="0.25">
      <c r="A9" s="929"/>
      <c r="B9" s="929"/>
      <c r="C9" s="929"/>
      <c r="D9" s="929"/>
      <c r="E9" s="929"/>
      <c r="F9" s="929"/>
      <c r="G9" s="929"/>
      <c r="H9" s="929"/>
      <c r="I9" s="929"/>
    </row>
    <row r="10" spans="1:9" x14ac:dyDescent="0.25">
      <c r="A10" s="929"/>
      <c r="B10" s="929"/>
      <c r="C10" s="929"/>
      <c r="D10" s="929"/>
      <c r="E10" s="929"/>
      <c r="F10" s="929"/>
      <c r="G10" s="929"/>
      <c r="H10" s="929"/>
      <c r="I10" s="929"/>
    </row>
    <row r="11" spans="1:9" x14ac:dyDescent="0.25">
      <c r="A11" s="929"/>
      <c r="B11" s="929"/>
      <c r="C11" s="929"/>
      <c r="D11" s="929"/>
      <c r="E11" s="929"/>
      <c r="F11" s="929"/>
      <c r="G11" s="929"/>
      <c r="H11" s="929"/>
      <c r="I11" s="929"/>
    </row>
    <row r="12" spans="1:9" x14ac:dyDescent="0.25">
      <c r="A12" s="929"/>
      <c r="B12" s="929"/>
      <c r="C12" s="929"/>
      <c r="D12" s="929"/>
      <c r="E12" s="929"/>
      <c r="F12" s="929"/>
      <c r="G12" s="929"/>
      <c r="H12" s="929"/>
      <c r="I12" s="929"/>
    </row>
    <row r="13" spans="1:9" x14ac:dyDescent="0.25">
      <c r="A13" s="929"/>
      <c r="B13" s="929"/>
      <c r="C13" s="929"/>
      <c r="D13" s="929"/>
      <c r="E13" s="929"/>
      <c r="F13" s="929"/>
      <c r="G13" s="929"/>
      <c r="H13" s="929"/>
      <c r="I13" s="929"/>
    </row>
    <row r="14" spans="1:9" x14ac:dyDescent="0.25">
      <c r="A14" s="929"/>
      <c r="B14" s="929"/>
      <c r="C14" s="929"/>
      <c r="D14" s="929"/>
      <c r="E14" s="929"/>
      <c r="F14" s="929"/>
      <c r="G14" s="929"/>
      <c r="H14" s="929"/>
      <c r="I14" s="929"/>
    </row>
    <row r="15" spans="1:9" ht="19.5" customHeight="1" x14ac:dyDescent="0.3">
      <c r="A15" s="419"/>
    </row>
    <row r="16" spans="1:9" ht="19.5" customHeight="1" x14ac:dyDescent="0.3">
      <c r="A16" s="901" t="s">
        <v>30</v>
      </c>
      <c r="B16" s="902"/>
      <c r="C16" s="902"/>
      <c r="D16" s="902"/>
      <c r="E16" s="902"/>
      <c r="F16" s="902"/>
      <c r="G16" s="902"/>
      <c r="H16" s="903"/>
    </row>
    <row r="17" spans="1:14" ht="20.25" customHeight="1" x14ac:dyDescent="0.25">
      <c r="A17" s="904" t="s">
        <v>46</v>
      </c>
      <c r="B17" s="904"/>
      <c r="C17" s="904"/>
      <c r="D17" s="904"/>
      <c r="E17" s="904"/>
      <c r="F17" s="904"/>
      <c r="G17" s="904"/>
      <c r="H17" s="904"/>
    </row>
    <row r="18" spans="1:14" ht="26.25" customHeight="1" x14ac:dyDescent="0.4">
      <c r="A18" s="421" t="s">
        <v>32</v>
      </c>
      <c r="B18" s="900" t="s">
        <v>5</v>
      </c>
      <c r="C18" s="900"/>
      <c r="D18" s="586"/>
      <c r="E18" s="422"/>
      <c r="F18" s="423"/>
      <c r="G18" s="423"/>
      <c r="H18" s="423"/>
    </row>
    <row r="19" spans="1:14" ht="26.25" customHeight="1" x14ac:dyDescent="0.4">
      <c r="A19" s="421" t="s">
        <v>33</v>
      </c>
      <c r="B19" s="608" t="str">
        <f>Rifampicin!B19</f>
        <v>NDQD2016061089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4">
      <c r="A20" s="421" t="s">
        <v>34</v>
      </c>
      <c r="B20" s="941" t="s">
        <v>126</v>
      </c>
      <c r="C20" s="905"/>
      <c r="D20" s="423"/>
      <c r="E20" s="423"/>
      <c r="F20" s="423"/>
      <c r="G20" s="423"/>
      <c r="H20" s="423"/>
    </row>
    <row r="21" spans="1:14" ht="26.25" customHeight="1" x14ac:dyDescent="0.4">
      <c r="A21" s="421" t="s">
        <v>35</v>
      </c>
      <c r="B21" s="905" t="s">
        <v>10</v>
      </c>
      <c r="C21" s="905"/>
      <c r="D21" s="905"/>
      <c r="E21" s="905"/>
      <c r="F21" s="905"/>
      <c r="G21" s="905"/>
      <c r="H21" s="905"/>
      <c r="I21" s="424"/>
    </row>
    <row r="22" spans="1:14" ht="26.25" customHeight="1" x14ac:dyDescent="0.4">
      <c r="A22" s="421" t="s">
        <v>36</v>
      </c>
      <c r="B22" s="425" t="s">
        <v>11</v>
      </c>
      <c r="C22" s="423"/>
      <c r="D22" s="423"/>
      <c r="E22" s="423"/>
      <c r="F22" s="423"/>
      <c r="G22" s="423"/>
      <c r="H22" s="423"/>
    </row>
    <row r="23" spans="1:14" ht="26.25" customHeight="1" x14ac:dyDescent="0.4">
      <c r="A23" s="421" t="s">
        <v>37</v>
      </c>
      <c r="B23" s="425"/>
      <c r="C23" s="423"/>
      <c r="D23" s="423"/>
      <c r="E23" s="423"/>
      <c r="F23" s="423"/>
      <c r="G23" s="423"/>
      <c r="H23" s="423"/>
    </row>
    <row r="24" spans="1:14" ht="18.75" x14ac:dyDescent="0.3">
      <c r="A24" s="421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900" t="s">
        <v>126</v>
      </c>
      <c r="C26" s="900"/>
    </row>
    <row r="27" spans="1:14" ht="26.25" customHeight="1" x14ac:dyDescent="0.4">
      <c r="A27" s="429" t="s">
        <v>47</v>
      </c>
      <c r="B27" s="906" t="s">
        <v>131</v>
      </c>
      <c r="C27" s="906"/>
    </row>
    <row r="28" spans="1:14" ht="27" customHeight="1" x14ac:dyDescent="0.4">
      <c r="A28" s="429" t="s">
        <v>6</v>
      </c>
      <c r="B28" s="430">
        <v>99.5</v>
      </c>
    </row>
    <row r="29" spans="1:14" s="14" customFormat="1" ht="27" customHeight="1" x14ac:dyDescent="0.4">
      <c r="A29" s="429" t="s">
        <v>48</v>
      </c>
      <c r="B29" s="431">
        <v>0</v>
      </c>
      <c r="C29" s="907" t="s">
        <v>49</v>
      </c>
      <c r="D29" s="908"/>
      <c r="E29" s="908"/>
      <c r="F29" s="908"/>
      <c r="G29" s="909"/>
      <c r="I29" s="432"/>
      <c r="J29" s="432"/>
      <c r="K29" s="432"/>
      <c r="L29" s="432"/>
    </row>
    <row r="30" spans="1:14" s="14" customFormat="1" ht="19.5" customHeight="1" x14ac:dyDescent="0.3">
      <c r="A30" s="429" t="s">
        <v>50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">
      <c r="A31" s="429" t="s">
        <v>51</v>
      </c>
      <c r="B31" s="436">
        <v>1</v>
      </c>
      <c r="C31" s="910" t="s">
        <v>52</v>
      </c>
      <c r="D31" s="911"/>
      <c r="E31" s="911"/>
      <c r="F31" s="911"/>
      <c r="G31" s="911"/>
      <c r="H31" s="912"/>
      <c r="I31" s="432"/>
      <c r="J31" s="432"/>
      <c r="K31" s="432"/>
      <c r="L31" s="432"/>
    </row>
    <row r="32" spans="1:14" s="14" customFormat="1" ht="27" customHeight="1" x14ac:dyDescent="0.4">
      <c r="A32" s="429" t="s">
        <v>53</v>
      </c>
      <c r="B32" s="436">
        <v>1</v>
      </c>
      <c r="C32" s="910" t="s">
        <v>54</v>
      </c>
      <c r="D32" s="911"/>
      <c r="E32" s="911"/>
      <c r="F32" s="911"/>
      <c r="G32" s="911"/>
      <c r="H32" s="912"/>
      <c r="I32" s="432"/>
      <c r="J32" s="432"/>
      <c r="K32" s="432"/>
      <c r="L32" s="437"/>
      <c r="M32" s="437"/>
      <c r="N32" s="438"/>
    </row>
    <row r="33" spans="1:14" s="14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.75" x14ac:dyDescent="0.3">
      <c r="A34" s="429" t="s">
        <v>55</v>
      </c>
      <c r="B34" s="441">
        <f>B31/B32</f>
        <v>1</v>
      </c>
      <c r="C34" s="420" t="s">
        <v>56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">
      <c r="A36" s="442" t="s">
        <v>57</v>
      </c>
      <c r="B36" s="443">
        <v>100</v>
      </c>
      <c r="C36" s="420"/>
      <c r="D36" s="913" t="s">
        <v>58</v>
      </c>
      <c r="E36" s="914"/>
      <c r="F36" s="913" t="s">
        <v>59</v>
      </c>
      <c r="G36" s="915"/>
      <c r="J36" s="432"/>
      <c r="K36" s="432"/>
      <c r="L36" s="437"/>
      <c r="M36" s="437"/>
      <c r="N36" s="438"/>
    </row>
    <row r="37" spans="1:14" s="14" customFormat="1" ht="27" customHeight="1" x14ac:dyDescent="0.4">
      <c r="A37" s="444" t="s">
        <v>60</v>
      </c>
      <c r="B37" s="445">
        <v>1</v>
      </c>
      <c r="C37" s="446" t="s">
        <v>61</v>
      </c>
      <c r="D37" s="447" t="s">
        <v>62</v>
      </c>
      <c r="E37" s="448" t="s">
        <v>63</v>
      </c>
      <c r="F37" s="447" t="s">
        <v>62</v>
      </c>
      <c r="G37" s="449" t="s">
        <v>63</v>
      </c>
      <c r="I37" s="450" t="s">
        <v>64</v>
      </c>
      <c r="J37" s="432"/>
      <c r="K37" s="432"/>
      <c r="L37" s="437"/>
      <c r="M37" s="437"/>
      <c r="N37" s="438"/>
    </row>
    <row r="38" spans="1:14" s="14" customFormat="1" ht="26.25" customHeight="1" x14ac:dyDescent="0.4">
      <c r="A38" s="444" t="s">
        <v>65</v>
      </c>
      <c r="B38" s="445">
        <v>1</v>
      </c>
      <c r="C38" s="451">
        <v>1</v>
      </c>
      <c r="D38" s="452">
        <v>86188438</v>
      </c>
      <c r="E38" s="453">
        <f>IF(ISBLANK(D38),"-",$D$48/$D$45*D38)</f>
        <v>93609612.121931583</v>
      </c>
      <c r="F38" s="452">
        <v>89318247</v>
      </c>
      <c r="G38" s="454">
        <f>IF(ISBLANK(F38),"-",$D$48/$F$45*F38)</f>
        <v>93575382.8780265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">
      <c r="A39" s="444" t="s">
        <v>66</v>
      </c>
      <c r="B39" s="445">
        <v>1</v>
      </c>
      <c r="C39" s="456">
        <v>2</v>
      </c>
      <c r="D39" s="457">
        <v>86369711</v>
      </c>
      <c r="E39" s="458">
        <f>IF(ISBLANK(D39),"-",$D$48/$D$45*D39)</f>
        <v>93806493.462537602</v>
      </c>
      <c r="F39" s="457">
        <v>89414104</v>
      </c>
      <c r="G39" s="459">
        <f>IF(ISBLANK(F39),"-",$D$48/$F$45*F39)</f>
        <v>93675808.667580321</v>
      </c>
      <c r="I39" s="917">
        <f>ABS((F43/D43*D42)-F42)/D42</f>
        <v>8.827051043869095E-4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67</v>
      </c>
      <c r="B40" s="445">
        <v>1</v>
      </c>
      <c r="C40" s="456">
        <v>3</v>
      </c>
      <c r="D40" s="457">
        <v>86221795</v>
      </c>
      <c r="E40" s="458">
        <f>IF(ISBLANK(D40),"-",$D$48/$D$45*D40)</f>
        <v>93645841.294939131</v>
      </c>
      <c r="F40" s="457">
        <v>89314485</v>
      </c>
      <c r="G40" s="459">
        <f>IF(ISBLANK(F40),"-",$D$48/$F$45*F40)</f>
        <v>93571441.571493834</v>
      </c>
      <c r="I40" s="917"/>
      <c r="L40" s="437"/>
      <c r="M40" s="437"/>
      <c r="N40" s="460"/>
    </row>
    <row r="41" spans="1:14" ht="27" customHeight="1" x14ac:dyDescent="0.4">
      <c r="A41" s="444" t="s">
        <v>68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69</v>
      </c>
      <c r="B42" s="445">
        <v>1</v>
      </c>
      <c r="C42" s="466" t="s">
        <v>70</v>
      </c>
      <c r="D42" s="467">
        <f>AVERAGE(D38:D41)</f>
        <v>86259981.333333328</v>
      </c>
      <c r="E42" s="468">
        <f>AVERAGE(E38:E41)</f>
        <v>93687315.626469448</v>
      </c>
      <c r="F42" s="467">
        <f>AVERAGE(F38:F41)</f>
        <v>89348945.333333328</v>
      </c>
      <c r="G42" s="469">
        <f>AVERAGE(G38:G41)</f>
        <v>93607544.37236689</v>
      </c>
      <c r="H42" s="470"/>
    </row>
    <row r="43" spans="1:14" ht="26.25" customHeight="1" x14ac:dyDescent="0.4">
      <c r="A43" s="444" t="s">
        <v>71</v>
      </c>
      <c r="B43" s="445">
        <v>1</v>
      </c>
      <c r="C43" s="471" t="s">
        <v>72</v>
      </c>
      <c r="D43" s="472">
        <v>39.79</v>
      </c>
      <c r="E43" s="460"/>
      <c r="F43" s="472">
        <v>41.25</v>
      </c>
      <c r="H43" s="470"/>
    </row>
    <row r="44" spans="1:14" ht="26.25" customHeight="1" x14ac:dyDescent="0.4">
      <c r="A44" s="444" t="s">
        <v>73</v>
      </c>
      <c r="B44" s="445">
        <v>1</v>
      </c>
      <c r="C44" s="473" t="s">
        <v>74</v>
      </c>
      <c r="D44" s="474">
        <f>D43*$B$34</f>
        <v>39.79</v>
      </c>
      <c r="E44" s="475"/>
      <c r="F44" s="474">
        <f>F43*$B$34</f>
        <v>41.25</v>
      </c>
      <c r="H44" s="470"/>
    </row>
    <row r="45" spans="1:14" ht="19.5" customHeight="1" x14ac:dyDescent="0.3">
      <c r="A45" s="444" t="s">
        <v>75</v>
      </c>
      <c r="B45" s="476">
        <f>(B44/B43)*(B42/B41)*(B40/B39)*(B38/B37)*B36</f>
        <v>100</v>
      </c>
      <c r="C45" s="473" t="s">
        <v>76</v>
      </c>
      <c r="D45" s="477">
        <f>D44*$B$30/100</f>
        <v>39.591050000000003</v>
      </c>
      <c r="E45" s="478"/>
      <c r="F45" s="477">
        <f>F44*$B$30/100</f>
        <v>41.043750000000003</v>
      </c>
      <c r="H45" s="470"/>
    </row>
    <row r="46" spans="1:14" ht="19.5" customHeight="1" x14ac:dyDescent="0.3">
      <c r="A46" s="918" t="s">
        <v>77</v>
      </c>
      <c r="B46" s="919"/>
      <c r="C46" s="473" t="s">
        <v>78</v>
      </c>
      <c r="D46" s="479">
        <f>D45/$B$45</f>
        <v>0.39591050000000005</v>
      </c>
      <c r="E46" s="480"/>
      <c r="F46" s="481">
        <f>F45/$B$45</f>
        <v>0.41043750000000001</v>
      </c>
      <c r="H46" s="470"/>
    </row>
    <row r="47" spans="1:14" ht="27" customHeight="1" x14ac:dyDescent="0.4">
      <c r="A47" s="920"/>
      <c r="B47" s="921"/>
      <c r="C47" s="482" t="s">
        <v>79</v>
      </c>
      <c r="D47" s="483">
        <v>0.43</v>
      </c>
      <c r="E47" s="484"/>
      <c r="F47" s="480"/>
      <c r="H47" s="470"/>
    </row>
    <row r="48" spans="1:14" ht="18.75" x14ac:dyDescent="0.3">
      <c r="C48" s="485" t="s">
        <v>80</v>
      </c>
      <c r="D48" s="477">
        <f>D47*$B$45</f>
        <v>43</v>
      </c>
      <c r="F48" s="486"/>
      <c r="H48" s="470"/>
    </row>
    <row r="49" spans="1:12" ht="19.5" customHeight="1" x14ac:dyDescent="0.3">
      <c r="C49" s="487" t="s">
        <v>81</v>
      </c>
      <c r="D49" s="488">
        <f>D48/B34</f>
        <v>43</v>
      </c>
      <c r="F49" s="486"/>
      <c r="H49" s="470"/>
    </row>
    <row r="50" spans="1:12" ht="18.75" x14ac:dyDescent="0.3">
      <c r="C50" s="442" t="s">
        <v>82</v>
      </c>
      <c r="D50" s="489">
        <f>AVERAGE(E38:E41,G38:G41)</f>
        <v>93647429.999418154</v>
      </c>
      <c r="F50" s="490"/>
      <c r="H50" s="470"/>
    </row>
    <row r="51" spans="1:12" ht="18.75" x14ac:dyDescent="0.3">
      <c r="C51" s="444" t="s">
        <v>83</v>
      </c>
      <c r="D51" s="491">
        <f>STDEV(E38:E41,G38:G41)/D50</f>
        <v>9.3707344571629326E-4</v>
      </c>
      <c r="F51" s="490"/>
      <c r="H51" s="470"/>
    </row>
    <row r="52" spans="1:12" ht="19.5" customHeight="1" x14ac:dyDescent="0.3">
      <c r="C52" s="492" t="s">
        <v>19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84</v>
      </c>
    </row>
    <row r="55" spans="1:12" ht="18.75" x14ac:dyDescent="0.3">
      <c r="A55" s="420" t="s">
        <v>85</v>
      </c>
      <c r="B55" s="496" t="str">
        <f>B21</f>
        <v>RIFAMPICIN 150mg, ISONIAZID 75mg, PYRAZINAMIDE 400mg &amp; ETHAMBUTOL HCl 275mg</v>
      </c>
    </row>
    <row r="56" spans="1:12" ht="26.25" customHeight="1" x14ac:dyDescent="0.4">
      <c r="A56" s="497" t="s">
        <v>86</v>
      </c>
      <c r="B56" s="498">
        <v>400</v>
      </c>
      <c r="C56" s="420" t="str">
        <f>B20</f>
        <v>PYRAZINAMIDE</v>
      </c>
      <c r="H56" s="499"/>
    </row>
    <row r="57" spans="1:12" ht="18.75" x14ac:dyDescent="0.3">
      <c r="A57" s="496" t="s">
        <v>87</v>
      </c>
      <c r="B57" s="587">
        <f>Isoniazid!B57</f>
        <v>1262.1402999999998</v>
      </c>
      <c r="H57" s="499"/>
    </row>
    <row r="58" spans="1:12" ht="19.5" customHeight="1" x14ac:dyDescent="0.3">
      <c r="H58" s="499"/>
    </row>
    <row r="59" spans="1:12" s="14" customFormat="1" ht="27" customHeight="1" x14ac:dyDescent="0.4">
      <c r="A59" s="442" t="s">
        <v>88</v>
      </c>
      <c r="B59" s="443">
        <v>200</v>
      </c>
      <c r="C59" s="420"/>
      <c r="D59" s="500" t="s">
        <v>89</v>
      </c>
      <c r="E59" s="501" t="s">
        <v>61</v>
      </c>
      <c r="F59" s="501" t="s">
        <v>62</v>
      </c>
      <c r="G59" s="501" t="s">
        <v>90</v>
      </c>
      <c r="H59" s="446" t="s">
        <v>91</v>
      </c>
      <c r="L59" s="432"/>
    </row>
    <row r="60" spans="1:12" s="14" customFormat="1" ht="26.25" customHeight="1" x14ac:dyDescent="0.4">
      <c r="A60" s="444" t="s">
        <v>92</v>
      </c>
      <c r="B60" s="445">
        <v>4</v>
      </c>
      <c r="C60" s="922" t="s">
        <v>93</v>
      </c>
      <c r="D60" s="925">
        <f>Isoniazid!D60</f>
        <v>1279.67</v>
      </c>
      <c r="E60" s="502">
        <v>1</v>
      </c>
      <c r="F60" s="503"/>
      <c r="G60" s="588" t="str">
        <f>IF(ISBLANK(F60),"-",(F60/$D$50*$D$47*$B$68)*($B$57/$D$60))</f>
        <v>-</v>
      </c>
      <c r="H60" s="504" t="str">
        <f t="shared" ref="H60:H71" si="0">IF(ISBLANK(F60),"-",G60/$B$56)</f>
        <v>-</v>
      </c>
      <c r="L60" s="432"/>
    </row>
    <row r="61" spans="1:12" s="14" customFormat="1" ht="26.25" customHeight="1" x14ac:dyDescent="0.4">
      <c r="A61" s="444" t="s">
        <v>94</v>
      </c>
      <c r="B61" s="445">
        <v>20</v>
      </c>
      <c r="C61" s="923"/>
      <c r="D61" s="926"/>
      <c r="E61" s="505">
        <v>2</v>
      </c>
      <c r="F61" s="457"/>
      <c r="G61" s="589" t="str">
        <f>IF(ISBLANK(F61),"-",(F61/$D$50*$D$47*$B$68)*($B$57/$D$60))</f>
        <v>-</v>
      </c>
      <c r="H61" s="506" t="str">
        <f t="shared" si="0"/>
        <v>-</v>
      </c>
      <c r="L61" s="432"/>
    </row>
    <row r="62" spans="1:12" s="14" customFormat="1" ht="26.25" customHeight="1" x14ac:dyDescent="0.4">
      <c r="A62" s="444" t="s">
        <v>95</v>
      </c>
      <c r="B62" s="445">
        <v>1</v>
      </c>
      <c r="C62" s="923"/>
      <c r="D62" s="926"/>
      <c r="E62" s="505">
        <v>3</v>
      </c>
      <c r="F62" s="507"/>
      <c r="G62" s="589" t="str">
        <f>IF(ISBLANK(F62),"-",(F62/$D$50*$D$47*$B$68)*($B$57/$D$60))</f>
        <v>-</v>
      </c>
      <c r="H62" s="506" t="str">
        <f t="shared" si="0"/>
        <v>-</v>
      </c>
      <c r="L62" s="432"/>
    </row>
    <row r="63" spans="1:12" ht="27" customHeight="1" x14ac:dyDescent="0.4">
      <c r="A63" s="444" t="s">
        <v>96</v>
      </c>
      <c r="B63" s="445">
        <v>1</v>
      </c>
      <c r="C63" s="924"/>
      <c r="D63" s="927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97</v>
      </c>
      <c r="B64" s="445">
        <v>1</v>
      </c>
      <c r="C64" s="922" t="s">
        <v>98</v>
      </c>
      <c r="D64" s="925">
        <f>Isoniazid!D64</f>
        <v>1252.19</v>
      </c>
      <c r="E64" s="502">
        <v>1</v>
      </c>
      <c r="F64" s="503">
        <v>89831241</v>
      </c>
      <c r="G64" s="590">
        <f>IF(ISBLANK(F64),"-",(F64/$D$50*$D$47*$B$68)*($B$57/$D$64))</f>
        <v>415.75491717552831</v>
      </c>
      <c r="H64" s="510">
        <f t="shared" si="0"/>
        <v>1.0393872929388208</v>
      </c>
    </row>
    <row r="65" spans="1:8" ht="26.25" customHeight="1" x14ac:dyDescent="0.4">
      <c r="A65" s="444" t="s">
        <v>99</v>
      </c>
      <c r="B65" s="445">
        <v>1</v>
      </c>
      <c r="C65" s="923"/>
      <c r="D65" s="926"/>
      <c r="E65" s="505">
        <v>2</v>
      </c>
      <c r="F65" s="457">
        <v>93574884</v>
      </c>
      <c r="G65" s="591">
        <f>IF(ISBLANK(F65),"-",(F65/$D$50*$D$47*$B$68)*($B$57/$D$64))</f>
        <v>433.08116100867028</v>
      </c>
      <c r="H65" s="511">
        <f t="shared" si="0"/>
        <v>1.0827029025216757</v>
      </c>
    </row>
    <row r="66" spans="1:8" ht="26.25" customHeight="1" x14ac:dyDescent="0.4">
      <c r="A66" s="444" t="s">
        <v>100</v>
      </c>
      <c r="B66" s="445">
        <v>1</v>
      </c>
      <c r="C66" s="923"/>
      <c r="D66" s="926"/>
      <c r="E66" s="505">
        <v>3</v>
      </c>
      <c r="F66" s="457">
        <v>90078663</v>
      </c>
      <c r="G66" s="591">
        <f>IF(ISBLANK(F66),"-",(F66/$D$50*$D$47*$B$68)*($B$57/$D$64))</f>
        <v>416.9000300780362</v>
      </c>
      <c r="H66" s="511">
        <f t="shared" si="0"/>
        <v>1.0422500751950905</v>
      </c>
    </row>
    <row r="67" spans="1:8" ht="27" customHeight="1" x14ac:dyDescent="0.4">
      <c r="A67" s="444" t="s">
        <v>101</v>
      </c>
      <c r="B67" s="445">
        <v>1</v>
      </c>
      <c r="C67" s="924"/>
      <c r="D67" s="927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102</v>
      </c>
      <c r="B68" s="513">
        <f>(B67/B66)*(B65/B64)*(B63/B62)*(B61/B60)*B59</f>
        <v>1000</v>
      </c>
      <c r="C68" s="922" t="s">
        <v>103</v>
      </c>
      <c r="D68" s="925">
        <f>Isoniazid!D68</f>
        <v>1254.3399999999999</v>
      </c>
      <c r="E68" s="502">
        <v>1</v>
      </c>
      <c r="F68" s="503">
        <v>90265792</v>
      </c>
      <c r="G68" s="590">
        <f>IF(ISBLANK(F68),"-",(F68/$D$50*$D$47*$B$68)*($B$57/$D$68))</f>
        <v>417.05002479665808</v>
      </c>
      <c r="H68" s="506">
        <f t="shared" si="0"/>
        <v>1.0426250619916453</v>
      </c>
    </row>
    <row r="69" spans="1:8" ht="27" customHeight="1" x14ac:dyDescent="0.4">
      <c r="A69" s="492" t="s">
        <v>104</v>
      </c>
      <c r="B69" s="514">
        <f>(D47*B68)/B56*B57</f>
        <v>1356.8008224999996</v>
      </c>
      <c r="C69" s="923"/>
      <c r="D69" s="926"/>
      <c r="E69" s="505">
        <v>2</v>
      </c>
      <c r="F69" s="457">
        <v>89991993</v>
      </c>
      <c r="G69" s="591">
        <f>IF(ISBLANK(F69),"-",(F69/$D$50*$D$47*$B$68)*($B$57/$D$68))</f>
        <v>415.7850064856317</v>
      </c>
      <c r="H69" s="506">
        <f t="shared" si="0"/>
        <v>1.0394625162140791</v>
      </c>
    </row>
    <row r="70" spans="1:8" ht="26.25" customHeight="1" x14ac:dyDescent="0.4">
      <c r="A70" s="935" t="s">
        <v>77</v>
      </c>
      <c r="B70" s="936"/>
      <c r="C70" s="923"/>
      <c r="D70" s="926"/>
      <c r="E70" s="505">
        <v>3</v>
      </c>
      <c r="F70" s="457">
        <v>90400235</v>
      </c>
      <c r="G70" s="591">
        <f>IF(ISBLANK(F70),"-",(F70/$D$50*$D$47*$B$68)*($B$57/$D$68))</f>
        <v>417.67118432167217</v>
      </c>
      <c r="H70" s="506">
        <f t="shared" si="0"/>
        <v>1.0441779608041803</v>
      </c>
    </row>
    <row r="71" spans="1:8" ht="27" customHeight="1" x14ac:dyDescent="0.4">
      <c r="A71" s="937"/>
      <c r="B71" s="938"/>
      <c r="C71" s="934"/>
      <c r="D71" s="927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70</v>
      </c>
      <c r="G72" s="597">
        <f>AVERAGE(G60:G71)</f>
        <v>419.37372064436613</v>
      </c>
      <c r="H72" s="519">
        <f>AVERAGE(H60:H71)</f>
        <v>1.0484343016109154</v>
      </c>
    </row>
    <row r="73" spans="1:8" ht="26.25" customHeight="1" x14ac:dyDescent="0.4">
      <c r="C73" s="516"/>
      <c r="D73" s="516"/>
      <c r="E73" s="516"/>
      <c r="F73" s="520" t="s">
        <v>83</v>
      </c>
      <c r="G73" s="593">
        <f>STDEV(G60:G71)/G72</f>
        <v>1.6112142620869754E-2</v>
      </c>
      <c r="H73" s="593">
        <f>STDEV(H60:H71)/H72</f>
        <v>1.6112142620869744E-2</v>
      </c>
    </row>
    <row r="74" spans="1:8" ht="27" customHeight="1" x14ac:dyDescent="0.4">
      <c r="A74" s="516"/>
      <c r="B74" s="516"/>
      <c r="C74" s="517"/>
      <c r="D74" s="517"/>
      <c r="E74" s="521"/>
      <c r="F74" s="522" t="s">
        <v>19</v>
      </c>
      <c r="G74" s="523">
        <f>COUNT(G60:G71)</f>
        <v>6</v>
      </c>
      <c r="H74" s="523">
        <f>COUNT(H60:H71)</f>
        <v>6</v>
      </c>
    </row>
    <row r="76" spans="1:8" ht="26.25" customHeight="1" x14ac:dyDescent="0.4">
      <c r="A76" s="428" t="s">
        <v>105</v>
      </c>
      <c r="B76" s="524" t="s">
        <v>106</v>
      </c>
      <c r="C76" s="930" t="str">
        <f>B20</f>
        <v>PYRAZINAMIDE</v>
      </c>
      <c r="D76" s="930"/>
      <c r="E76" s="525" t="s">
        <v>107</v>
      </c>
      <c r="F76" s="525"/>
      <c r="G76" s="526">
        <f>H72</f>
        <v>1.0484343016109154</v>
      </c>
      <c r="H76" s="527"/>
    </row>
    <row r="77" spans="1:8" ht="18.75" x14ac:dyDescent="0.3">
      <c r="A77" s="427" t="s">
        <v>108</v>
      </c>
      <c r="B77" s="427" t="s">
        <v>109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916" t="str">
        <f>B26</f>
        <v>PYRAZINAMIDE</v>
      </c>
      <c r="C79" s="916"/>
    </row>
    <row r="80" spans="1:8" ht="26.25" customHeight="1" x14ac:dyDescent="0.4">
      <c r="A80" s="429" t="s">
        <v>47</v>
      </c>
      <c r="B80" s="916" t="str">
        <f>B27</f>
        <v>P19 1</v>
      </c>
      <c r="C80" s="916"/>
    </row>
    <row r="81" spans="1:12" ht="27" customHeight="1" x14ac:dyDescent="0.4">
      <c r="A81" s="429" t="s">
        <v>6</v>
      </c>
      <c r="B81" s="528">
        <f>B28</f>
        <v>99.5</v>
      </c>
    </row>
    <row r="82" spans="1:12" s="14" customFormat="1" ht="27" customHeight="1" x14ac:dyDescent="0.4">
      <c r="A82" s="429" t="s">
        <v>48</v>
      </c>
      <c r="B82" s="431">
        <v>0</v>
      </c>
      <c r="C82" s="907" t="s">
        <v>49</v>
      </c>
      <c r="D82" s="908"/>
      <c r="E82" s="908"/>
      <c r="F82" s="908"/>
      <c r="G82" s="909"/>
      <c r="I82" s="432"/>
      <c r="J82" s="432"/>
      <c r="K82" s="432"/>
      <c r="L82" s="432"/>
    </row>
    <row r="83" spans="1:12" s="14" customFormat="1" ht="19.5" customHeight="1" x14ac:dyDescent="0.3">
      <c r="A83" s="429" t="s">
        <v>50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">
      <c r="A84" s="429" t="s">
        <v>51</v>
      </c>
      <c r="B84" s="436">
        <v>1</v>
      </c>
      <c r="C84" s="910" t="s">
        <v>110</v>
      </c>
      <c r="D84" s="911"/>
      <c r="E84" s="911"/>
      <c r="F84" s="911"/>
      <c r="G84" s="911"/>
      <c r="H84" s="912"/>
      <c r="I84" s="432"/>
      <c r="J84" s="432"/>
      <c r="K84" s="432"/>
      <c r="L84" s="432"/>
    </row>
    <row r="85" spans="1:12" s="14" customFormat="1" ht="27" customHeight="1" x14ac:dyDescent="0.4">
      <c r="A85" s="429" t="s">
        <v>53</v>
      </c>
      <c r="B85" s="436">
        <v>1</v>
      </c>
      <c r="C85" s="910" t="s">
        <v>111</v>
      </c>
      <c r="D85" s="911"/>
      <c r="E85" s="911"/>
      <c r="F85" s="911"/>
      <c r="G85" s="911"/>
      <c r="H85" s="912"/>
      <c r="I85" s="432"/>
      <c r="J85" s="432"/>
      <c r="K85" s="432"/>
      <c r="L85" s="432"/>
    </row>
    <row r="86" spans="1:12" s="14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.75" x14ac:dyDescent="0.3">
      <c r="A87" s="429" t="s">
        <v>55</v>
      </c>
      <c r="B87" s="441">
        <f>B84/B85</f>
        <v>1</v>
      </c>
      <c r="C87" s="420" t="s">
        <v>56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57</v>
      </c>
      <c r="B89" s="443">
        <v>100</v>
      </c>
      <c r="D89" s="529" t="s">
        <v>58</v>
      </c>
      <c r="E89" s="530"/>
      <c r="F89" s="913" t="s">
        <v>59</v>
      </c>
      <c r="G89" s="915"/>
    </row>
    <row r="90" spans="1:12" ht="27" customHeight="1" x14ac:dyDescent="0.4">
      <c r="A90" s="444" t="s">
        <v>60</v>
      </c>
      <c r="B90" s="445">
        <v>1</v>
      </c>
      <c r="C90" s="531" t="s">
        <v>61</v>
      </c>
      <c r="D90" s="447" t="s">
        <v>62</v>
      </c>
      <c r="E90" s="448" t="s">
        <v>63</v>
      </c>
      <c r="F90" s="447" t="s">
        <v>62</v>
      </c>
      <c r="G90" s="532" t="s">
        <v>63</v>
      </c>
      <c r="I90" s="450" t="s">
        <v>64</v>
      </c>
    </row>
    <row r="91" spans="1:12" ht="26.25" customHeight="1" x14ac:dyDescent="0.4">
      <c r="A91" s="444" t="s">
        <v>65</v>
      </c>
      <c r="B91" s="445">
        <v>1</v>
      </c>
      <c r="C91" s="533">
        <v>1</v>
      </c>
      <c r="D91" s="600">
        <v>86188438</v>
      </c>
      <c r="E91" s="453">
        <f>IF(ISBLANK(D91),"-",$D$101/$D$98*D91)</f>
        <v>96754121.056260034</v>
      </c>
      <c r="F91" s="600">
        <v>89318247</v>
      </c>
      <c r="G91" s="454">
        <f>IF(ISBLANK(F91),"-",$D$101/$F$98*F91)</f>
        <v>96718741.992792234</v>
      </c>
      <c r="I91" s="455"/>
    </row>
    <row r="92" spans="1:12" ht="26.25" customHeight="1" x14ac:dyDescent="0.4">
      <c r="A92" s="444" t="s">
        <v>66</v>
      </c>
      <c r="B92" s="445">
        <v>1</v>
      </c>
      <c r="C92" s="517">
        <v>2</v>
      </c>
      <c r="D92" s="601">
        <v>86369711</v>
      </c>
      <c r="E92" s="458">
        <f>IF(ISBLANK(D92),"-",$D$101/$D$98*D92)</f>
        <v>96957615.981951013</v>
      </c>
      <c r="F92" s="601">
        <v>89414104</v>
      </c>
      <c r="G92" s="459">
        <f>IF(ISBLANK(F92),"-",$D$101/$F$98*F92)</f>
        <v>96822541.258480936</v>
      </c>
      <c r="I92" s="917">
        <f>ABS((F96/D96*D95)-F95)/D95</f>
        <v>8.827051043869095E-4</v>
      </c>
    </row>
    <row r="93" spans="1:12" ht="26.25" customHeight="1" x14ac:dyDescent="0.4">
      <c r="A93" s="444" t="s">
        <v>67</v>
      </c>
      <c r="B93" s="445">
        <v>1</v>
      </c>
      <c r="C93" s="517">
        <v>3</v>
      </c>
      <c r="D93" s="601">
        <v>86221795</v>
      </c>
      <c r="E93" s="458">
        <f>IF(ISBLANK(D93),"-",$D$101/$D$98*D93)</f>
        <v>96791567.229911238</v>
      </c>
      <c r="F93" s="601">
        <v>89314485</v>
      </c>
      <c r="G93" s="459">
        <f>IF(ISBLANK(F93),"-",$D$101/$F$98*F93)</f>
        <v>96714668.290949687</v>
      </c>
      <c r="I93" s="917"/>
    </row>
    <row r="94" spans="1:12" ht="27" customHeight="1" x14ac:dyDescent="0.4">
      <c r="A94" s="444" t="s">
        <v>68</v>
      </c>
      <c r="B94" s="445">
        <v>1</v>
      </c>
      <c r="C94" s="534">
        <v>4</v>
      </c>
      <c r="D94" s="602"/>
      <c r="E94" s="463" t="str">
        <f>IF(ISBLANK(D94),"-",$D$101/$D$98*D94)</f>
        <v>-</v>
      </c>
      <c r="F94" s="602"/>
      <c r="G94" s="464" t="str">
        <f>IF(ISBLANK(F94),"-",$D$101/$F$98*F94)</f>
        <v>-</v>
      </c>
      <c r="I94" s="465"/>
    </row>
    <row r="95" spans="1:12" ht="27" customHeight="1" x14ac:dyDescent="0.4">
      <c r="A95" s="444" t="s">
        <v>69</v>
      </c>
      <c r="B95" s="445">
        <v>1</v>
      </c>
      <c r="C95" s="535" t="s">
        <v>70</v>
      </c>
      <c r="D95" s="536">
        <f>AVERAGE(D91:D94)</f>
        <v>86259981.333333328</v>
      </c>
      <c r="E95" s="468">
        <f>AVERAGE(E91:E94)</f>
        <v>96834434.756040767</v>
      </c>
      <c r="F95" s="537">
        <f>AVERAGE(F91:F94)</f>
        <v>89348945.333333328</v>
      </c>
      <c r="G95" s="538">
        <f>AVERAGE(G91:G94)</f>
        <v>96751983.847407624</v>
      </c>
    </row>
    <row r="96" spans="1:12" ht="26.25" customHeight="1" x14ac:dyDescent="0.4">
      <c r="A96" s="444" t="s">
        <v>71</v>
      </c>
      <c r="B96" s="430">
        <v>1</v>
      </c>
      <c r="C96" s="539" t="s">
        <v>112</v>
      </c>
      <c r="D96" s="540">
        <f>D43</f>
        <v>39.79</v>
      </c>
      <c r="E96" s="460"/>
      <c r="F96" s="472">
        <f>F43</f>
        <v>41.25</v>
      </c>
    </row>
    <row r="97" spans="1:10" ht="26.25" customHeight="1" x14ac:dyDescent="0.4">
      <c r="A97" s="444" t="s">
        <v>73</v>
      </c>
      <c r="B97" s="430">
        <v>1</v>
      </c>
      <c r="C97" s="541" t="s">
        <v>113</v>
      </c>
      <c r="D97" s="542">
        <f>D96*$B$87</f>
        <v>39.79</v>
      </c>
      <c r="E97" s="475"/>
      <c r="F97" s="474">
        <f>F96*$B$87</f>
        <v>41.25</v>
      </c>
    </row>
    <row r="98" spans="1:10" ht="19.5" customHeight="1" x14ac:dyDescent="0.3">
      <c r="A98" s="444" t="s">
        <v>75</v>
      </c>
      <c r="B98" s="543">
        <f>(B97/B96)*(B95/B94)*(B93/B92)*(B91/B90)*B89</f>
        <v>100</v>
      </c>
      <c r="C98" s="541" t="s">
        <v>114</v>
      </c>
      <c r="D98" s="544">
        <f>D97*$B$83/100</f>
        <v>39.591050000000003</v>
      </c>
      <c r="E98" s="478"/>
      <c r="F98" s="477">
        <f>F97*$B$83/100</f>
        <v>41.043750000000003</v>
      </c>
    </row>
    <row r="99" spans="1:10" ht="19.5" customHeight="1" x14ac:dyDescent="0.3">
      <c r="A99" s="918" t="s">
        <v>77</v>
      </c>
      <c r="B99" s="932"/>
      <c r="C99" s="541" t="s">
        <v>115</v>
      </c>
      <c r="D99" s="545">
        <f>D98/$B$98</f>
        <v>0.39591050000000005</v>
      </c>
      <c r="E99" s="478"/>
      <c r="F99" s="481">
        <f>F98/$B$98</f>
        <v>0.41043750000000001</v>
      </c>
      <c r="G99" s="546"/>
      <c r="H99" s="470"/>
    </row>
    <row r="100" spans="1:10" ht="19.5" customHeight="1" x14ac:dyDescent="0.3">
      <c r="A100" s="920"/>
      <c r="B100" s="933"/>
      <c r="C100" s="541" t="s">
        <v>79</v>
      </c>
      <c r="D100" s="547">
        <f>$B$56/$B$116</f>
        <v>0.44444444444444442</v>
      </c>
      <c r="F100" s="486"/>
      <c r="G100" s="548"/>
      <c r="H100" s="470"/>
    </row>
    <row r="101" spans="1:10" ht="18.75" x14ac:dyDescent="0.3">
      <c r="C101" s="541" t="s">
        <v>80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">
      <c r="C102" s="549" t="s">
        <v>81</v>
      </c>
      <c r="D102" s="550">
        <f>D101/B34</f>
        <v>44.444444444444443</v>
      </c>
      <c r="F102" s="490"/>
      <c r="G102" s="546"/>
      <c r="H102" s="470"/>
      <c r="J102" s="551"/>
    </row>
    <row r="103" spans="1:10" ht="18.75" x14ac:dyDescent="0.3">
      <c r="C103" s="552" t="s">
        <v>116</v>
      </c>
      <c r="D103" s="553">
        <f>AVERAGE(E91:E94,G91:G94)</f>
        <v>96793209.301724195</v>
      </c>
      <c r="F103" s="490"/>
      <c r="G103" s="554"/>
      <c r="H103" s="470"/>
      <c r="J103" s="555"/>
    </row>
    <row r="104" spans="1:10" ht="18.75" x14ac:dyDescent="0.3">
      <c r="C104" s="520" t="s">
        <v>83</v>
      </c>
      <c r="D104" s="556">
        <f>STDEV(E91:E94,G91:G94)/D103</f>
        <v>9.3707344571634292E-4</v>
      </c>
      <c r="F104" s="490"/>
      <c r="G104" s="546"/>
      <c r="H104" s="470"/>
      <c r="J104" s="555"/>
    </row>
    <row r="105" spans="1:10" ht="19.5" customHeight="1" x14ac:dyDescent="0.3">
      <c r="C105" s="522" t="s">
        <v>19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117</v>
      </c>
      <c r="B107" s="443">
        <v>900</v>
      </c>
      <c r="C107" s="558" t="s">
        <v>118</v>
      </c>
      <c r="D107" s="559" t="s">
        <v>62</v>
      </c>
      <c r="E107" s="560" t="s">
        <v>119</v>
      </c>
      <c r="F107" s="561" t="s">
        <v>120</v>
      </c>
    </row>
    <row r="108" spans="1:10" ht="26.25" customHeight="1" x14ac:dyDescent="0.4">
      <c r="A108" s="444" t="s">
        <v>121</v>
      </c>
      <c r="B108" s="445">
        <v>1</v>
      </c>
      <c r="C108" s="562">
        <v>1</v>
      </c>
      <c r="D108" s="563">
        <v>90206458</v>
      </c>
      <c r="E108" s="594">
        <f t="shared" ref="E108:E113" si="1">IF(ISBLANK(D108),"-",D108/$D$103*$D$100*$B$116)</f>
        <v>372.78010988894084</v>
      </c>
      <c r="F108" s="564">
        <f t="shared" ref="F108:F113" si="2">IF(ISBLANK(D108), "-", E108/$B$56)</f>
        <v>0.93195027472235215</v>
      </c>
    </row>
    <row r="109" spans="1:10" ht="26.25" customHeight="1" x14ac:dyDescent="0.4">
      <c r="A109" s="444" t="s">
        <v>94</v>
      </c>
      <c r="B109" s="445">
        <v>1</v>
      </c>
      <c r="C109" s="562">
        <v>2</v>
      </c>
      <c r="D109" s="563">
        <v>89869868</v>
      </c>
      <c r="E109" s="595">
        <f t="shared" si="1"/>
        <v>371.38914454156497</v>
      </c>
      <c r="F109" s="565">
        <f t="shared" si="2"/>
        <v>0.92847286135391238</v>
      </c>
    </row>
    <row r="110" spans="1:10" ht="26.25" customHeight="1" x14ac:dyDescent="0.4">
      <c r="A110" s="444" t="s">
        <v>95</v>
      </c>
      <c r="B110" s="445">
        <v>1</v>
      </c>
      <c r="C110" s="562">
        <v>3</v>
      </c>
      <c r="D110" s="563">
        <v>89641502</v>
      </c>
      <c r="E110" s="595">
        <f t="shared" si="1"/>
        <v>370.44541718032775</v>
      </c>
      <c r="F110" s="565">
        <f t="shared" si="2"/>
        <v>0.92611354295081938</v>
      </c>
    </row>
    <row r="111" spans="1:10" ht="26.25" customHeight="1" x14ac:dyDescent="0.4">
      <c r="A111" s="444" t="s">
        <v>96</v>
      </c>
      <c r="B111" s="445">
        <v>1</v>
      </c>
      <c r="C111" s="562">
        <v>4</v>
      </c>
      <c r="D111" s="563">
        <v>90027722</v>
      </c>
      <c r="E111" s="595">
        <f t="shared" si="1"/>
        <v>372.04147956026634</v>
      </c>
      <c r="F111" s="565">
        <f t="shared" si="2"/>
        <v>0.9301036989006658</v>
      </c>
    </row>
    <row r="112" spans="1:10" ht="26.25" customHeight="1" x14ac:dyDescent="0.4">
      <c r="A112" s="444" t="s">
        <v>97</v>
      </c>
      <c r="B112" s="445">
        <v>1</v>
      </c>
      <c r="C112" s="562">
        <v>5</v>
      </c>
      <c r="D112" s="563">
        <v>89696051</v>
      </c>
      <c r="E112" s="595">
        <f t="shared" si="1"/>
        <v>370.67084208520902</v>
      </c>
      <c r="F112" s="565">
        <f t="shared" si="2"/>
        <v>0.92667710521302249</v>
      </c>
    </row>
    <row r="113" spans="1:10" ht="26.25" customHeight="1" x14ac:dyDescent="0.4">
      <c r="A113" s="444" t="s">
        <v>99</v>
      </c>
      <c r="B113" s="445">
        <v>1</v>
      </c>
      <c r="C113" s="566">
        <v>6</v>
      </c>
      <c r="D113" s="567">
        <v>90116871</v>
      </c>
      <c r="E113" s="596">
        <f t="shared" si="1"/>
        <v>372.40988970243689</v>
      </c>
      <c r="F113" s="568">
        <f t="shared" si="2"/>
        <v>0.93102472425609217</v>
      </c>
    </row>
    <row r="114" spans="1:10" ht="26.25" customHeight="1" x14ac:dyDescent="0.4">
      <c r="A114" s="444" t="s">
        <v>100</v>
      </c>
      <c r="B114" s="445">
        <v>1</v>
      </c>
      <c r="C114" s="562"/>
      <c r="D114" s="517"/>
      <c r="E114" s="419"/>
      <c r="F114" s="569"/>
    </row>
    <row r="115" spans="1:10" ht="26.25" customHeight="1" x14ac:dyDescent="0.4">
      <c r="A115" s="444" t="s">
        <v>101</v>
      </c>
      <c r="B115" s="445">
        <v>1</v>
      </c>
      <c r="C115" s="562"/>
      <c r="D115" s="570" t="s">
        <v>70</v>
      </c>
      <c r="E115" s="598">
        <f>AVERAGE(E108:E113)</f>
        <v>371.62281382645762</v>
      </c>
      <c r="F115" s="571">
        <f>AVERAGE(F108:F113)</f>
        <v>0.92905703456614397</v>
      </c>
    </row>
    <row r="116" spans="1:10" ht="27" customHeight="1" x14ac:dyDescent="0.4">
      <c r="A116" s="444" t="s">
        <v>102</v>
      </c>
      <c r="B116" s="476">
        <f>(B115/B114)*(B113/B112)*(B111/B110)*(B109/B108)*B107</f>
        <v>900</v>
      </c>
      <c r="C116" s="572"/>
      <c r="D116" s="535" t="s">
        <v>83</v>
      </c>
      <c r="E116" s="573">
        <f>STDEV(E108:E113)/E115</f>
        <v>2.5474793153926331E-3</v>
      </c>
      <c r="F116" s="573">
        <f>STDEV(F108:F113)/F115</f>
        <v>2.5474793153926461E-3</v>
      </c>
      <c r="I116" s="419"/>
    </row>
    <row r="117" spans="1:10" ht="27" customHeight="1" x14ac:dyDescent="0.4">
      <c r="A117" s="918" t="s">
        <v>77</v>
      </c>
      <c r="B117" s="919"/>
      <c r="C117" s="574"/>
      <c r="D117" s="575" t="s">
        <v>19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">
      <c r="A118" s="920"/>
      <c r="B118" s="921"/>
      <c r="C118" s="419"/>
      <c r="D118" s="419"/>
      <c r="E118" s="419"/>
      <c r="F118" s="517"/>
      <c r="G118" s="419"/>
      <c r="H118" s="419"/>
      <c r="I118" s="419"/>
    </row>
    <row r="119" spans="1:10" ht="18.75" x14ac:dyDescent="0.3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">
      <c r="A120" s="428" t="s">
        <v>105</v>
      </c>
      <c r="B120" s="524" t="s">
        <v>122</v>
      </c>
      <c r="C120" s="930" t="str">
        <f>B20</f>
        <v>PYRAZINAMIDE</v>
      </c>
      <c r="D120" s="930"/>
      <c r="E120" s="525" t="s">
        <v>123</v>
      </c>
      <c r="F120" s="525"/>
      <c r="G120" s="526">
        <f>F115</f>
        <v>0.92905703456614397</v>
      </c>
      <c r="H120" s="419"/>
      <c r="I120" s="419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931" t="s">
        <v>25</v>
      </c>
      <c r="C122" s="931"/>
      <c r="E122" s="531" t="s">
        <v>26</v>
      </c>
      <c r="F122" s="579"/>
      <c r="G122" s="931" t="s">
        <v>27</v>
      </c>
      <c r="H122" s="931"/>
    </row>
    <row r="123" spans="1:10" ht="69.95" customHeight="1" x14ac:dyDescent="0.3">
      <c r="A123" s="580" t="s">
        <v>28</v>
      </c>
      <c r="B123" s="581"/>
      <c r="C123" s="581"/>
      <c r="E123" s="581"/>
      <c r="F123" s="419"/>
      <c r="G123" s="582"/>
      <c r="H123" s="582"/>
    </row>
    <row r="124" spans="1:10" ht="69.95" customHeight="1" x14ac:dyDescent="0.3">
      <c r="A124" s="580" t="s">
        <v>29</v>
      </c>
      <c r="B124" s="583"/>
      <c r="C124" s="583"/>
      <c r="E124" s="583"/>
      <c r="F124" s="419"/>
      <c r="G124" s="584"/>
      <c r="H124" s="584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B42" sqref="B42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5.140625" style="604" customWidth="1"/>
    <col min="4" max="4" width="32.7109375" style="604" customWidth="1"/>
    <col min="5" max="5" width="29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39" t="s">
        <v>0</v>
      </c>
      <c r="B15" s="939"/>
      <c r="C15" s="939"/>
      <c r="D15" s="939"/>
      <c r="E15" s="939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135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NDQD2016061089</v>
      </c>
      <c r="C19" s="53"/>
      <c r="D19" s="53"/>
      <c r="E19" s="53"/>
    </row>
    <row r="20" spans="1:5" ht="16.5" customHeight="1" x14ac:dyDescent="0.3">
      <c r="A20" s="8" t="s">
        <v>7</v>
      </c>
      <c r="B20" s="12">
        <v>16.47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0.16469999999999999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52277988</v>
      </c>
      <c r="C24" s="18">
        <v>74546.98</v>
      </c>
      <c r="D24" s="19">
        <v>1.1000000000000001</v>
      </c>
      <c r="E24" s="20">
        <v>7.51</v>
      </c>
    </row>
    <row r="25" spans="1:5" ht="16.5" customHeight="1" x14ac:dyDescent="0.3">
      <c r="A25" s="17">
        <v>2</v>
      </c>
      <c r="B25" s="18">
        <v>52303186</v>
      </c>
      <c r="C25" s="18">
        <v>75359.63</v>
      </c>
      <c r="D25" s="19">
        <v>1.1599999999999999</v>
      </c>
      <c r="E25" s="19">
        <v>7.51</v>
      </c>
    </row>
    <row r="26" spans="1:5" ht="16.5" customHeight="1" x14ac:dyDescent="0.3">
      <c r="A26" s="17">
        <v>3</v>
      </c>
      <c r="B26" s="18">
        <v>52247560</v>
      </c>
      <c r="C26" s="18">
        <v>75293.11</v>
      </c>
      <c r="D26" s="19">
        <v>1.1499999999999999</v>
      </c>
      <c r="E26" s="19">
        <v>7.51</v>
      </c>
    </row>
    <row r="27" spans="1:5" ht="16.5" customHeight="1" x14ac:dyDescent="0.3">
      <c r="A27" s="17">
        <v>4</v>
      </c>
      <c r="B27" s="18">
        <v>52361842</v>
      </c>
      <c r="C27" s="18">
        <v>74858.679999999993</v>
      </c>
      <c r="D27" s="19">
        <v>1.1200000000000001</v>
      </c>
      <c r="E27" s="19">
        <v>7.51</v>
      </c>
    </row>
    <row r="28" spans="1:5" ht="16.5" customHeight="1" x14ac:dyDescent="0.3">
      <c r="A28" s="17">
        <v>5</v>
      </c>
      <c r="B28" s="18">
        <v>52604758</v>
      </c>
      <c r="C28" s="18">
        <v>74307.789999999994</v>
      </c>
      <c r="D28" s="19">
        <v>1.1000000000000001</v>
      </c>
      <c r="E28" s="19">
        <v>7.51</v>
      </c>
    </row>
    <row r="29" spans="1:5" ht="16.5" customHeight="1" x14ac:dyDescent="0.3">
      <c r="A29" s="17">
        <v>6</v>
      </c>
      <c r="B29" s="21">
        <v>52672334</v>
      </c>
      <c r="C29" s="21">
        <v>75085</v>
      </c>
      <c r="D29" s="22">
        <v>1.1599999999999999</v>
      </c>
      <c r="E29" s="22">
        <v>7.51</v>
      </c>
    </row>
    <row r="30" spans="1:5" ht="16.5" customHeight="1" x14ac:dyDescent="0.3">
      <c r="A30" s="23" t="s">
        <v>17</v>
      </c>
      <c r="B30" s="24">
        <f>AVERAGE(B24:B29)</f>
        <v>52411278</v>
      </c>
      <c r="C30" s="25">
        <f>AVERAGE(C24:C29)</f>
        <v>74908.531666666662</v>
      </c>
      <c r="D30" s="26">
        <f>AVERAGE(D24:D29)</f>
        <v>1.1316666666666666</v>
      </c>
      <c r="E30" s="26">
        <f>AVERAGE(E24:E29)</f>
        <v>7.5099999999999989</v>
      </c>
    </row>
    <row r="31" spans="1:5" ht="16.5" customHeight="1" x14ac:dyDescent="0.3">
      <c r="A31" s="27" t="s">
        <v>18</v>
      </c>
      <c r="B31" s="28">
        <f>(STDEV(B24:B29)/B30)</f>
        <v>3.4584834656078999E-3</v>
      </c>
      <c r="C31" s="29"/>
      <c r="D31" s="29"/>
      <c r="E31" s="30"/>
    </row>
    <row r="32" spans="1:5" s="604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7" t="s">
        <v>135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133</v>
      </c>
      <c r="C40" s="53"/>
      <c r="D40" s="53"/>
      <c r="E40" s="53"/>
    </row>
    <row r="41" spans="1:5" ht="16.5" customHeight="1" x14ac:dyDescent="0.3">
      <c r="A41" s="8" t="s">
        <v>7</v>
      </c>
      <c r="B41" s="12">
        <f>B20</f>
        <v>16.47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B41/100</f>
        <v>0.16469999999999999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52277988</v>
      </c>
      <c r="C45" s="18">
        <v>74546.98</v>
      </c>
      <c r="D45" s="19">
        <v>1.1000000000000001</v>
      </c>
      <c r="E45" s="20">
        <v>7.51</v>
      </c>
    </row>
    <row r="46" spans="1:5" ht="16.5" customHeight="1" x14ac:dyDescent="0.3">
      <c r="A46" s="17">
        <v>2</v>
      </c>
      <c r="B46" s="18">
        <v>52303186</v>
      </c>
      <c r="C46" s="18">
        <v>75359.63</v>
      </c>
      <c r="D46" s="19">
        <v>1.1599999999999999</v>
      </c>
      <c r="E46" s="19">
        <v>7.51</v>
      </c>
    </row>
    <row r="47" spans="1:5" ht="16.5" customHeight="1" x14ac:dyDescent="0.3">
      <c r="A47" s="17">
        <v>3</v>
      </c>
      <c r="B47" s="18">
        <v>52247560</v>
      </c>
      <c r="C47" s="18">
        <v>75293.11</v>
      </c>
      <c r="D47" s="19">
        <v>1.1499999999999999</v>
      </c>
      <c r="E47" s="19">
        <v>7.51</v>
      </c>
    </row>
    <row r="48" spans="1:5" ht="16.5" customHeight="1" x14ac:dyDescent="0.3">
      <c r="A48" s="17">
        <v>4</v>
      </c>
      <c r="B48" s="18">
        <v>52361842</v>
      </c>
      <c r="C48" s="18">
        <v>74858.679999999993</v>
      </c>
      <c r="D48" s="19">
        <v>1.1200000000000001</v>
      </c>
      <c r="E48" s="19">
        <v>7.51</v>
      </c>
    </row>
    <row r="49" spans="1:7" ht="16.5" customHeight="1" x14ac:dyDescent="0.3">
      <c r="A49" s="17">
        <v>5</v>
      </c>
      <c r="B49" s="18">
        <v>52604758</v>
      </c>
      <c r="C49" s="18">
        <v>74307.789999999994</v>
      </c>
      <c r="D49" s="19">
        <v>1.1000000000000001</v>
      </c>
      <c r="E49" s="19">
        <v>7.51</v>
      </c>
    </row>
    <row r="50" spans="1:7" ht="16.5" customHeight="1" x14ac:dyDescent="0.3">
      <c r="A50" s="17">
        <v>6</v>
      </c>
      <c r="B50" s="21">
        <v>52672334</v>
      </c>
      <c r="C50" s="21">
        <v>75085</v>
      </c>
      <c r="D50" s="22">
        <v>1.1599999999999999</v>
      </c>
      <c r="E50" s="22">
        <v>7.51</v>
      </c>
    </row>
    <row r="51" spans="1:7" ht="16.5" customHeight="1" x14ac:dyDescent="0.3">
      <c r="A51" s="23" t="s">
        <v>17</v>
      </c>
      <c r="B51" s="24">
        <f>AVERAGE(B45:B50)</f>
        <v>52411278</v>
      </c>
      <c r="C51" s="25">
        <f>AVERAGE(C45:C50)</f>
        <v>74908.531666666662</v>
      </c>
      <c r="D51" s="26">
        <f>AVERAGE(D45:D50)</f>
        <v>1.1316666666666666</v>
      </c>
      <c r="E51" s="26">
        <f>AVERAGE(E45:E50)</f>
        <v>7.5099999999999989</v>
      </c>
    </row>
    <row r="52" spans="1:7" ht="16.5" customHeight="1" x14ac:dyDescent="0.3">
      <c r="A52" s="27" t="s">
        <v>18</v>
      </c>
      <c r="B52" s="28">
        <f>(STDEV(B45:B50)/B51)</f>
        <v>3.4584834656078999E-3</v>
      </c>
      <c r="C52" s="29"/>
      <c r="D52" s="29"/>
      <c r="E52" s="30"/>
    </row>
    <row r="53" spans="1:7" s="604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40" t="s">
        <v>25</v>
      </c>
      <c r="C59" s="940"/>
      <c r="E59" s="606" t="s">
        <v>26</v>
      </c>
      <c r="F59" s="46"/>
      <c r="G59" s="606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SST E</vt:lpstr>
      <vt:lpstr>Ethambutol hydrochloride (2)</vt:lpstr>
      <vt:lpstr>Uniformity (2)</vt:lpstr>
      <vt:lpstr>Rifampicin</vt:lpstr>
      <vt:lpstr>SST I</vt:lpstr>
      <vt:lpstr>Isoniazid</vt:lpstr>
      <vt:lpstr>SST P</vt:lpstr>
      <vt:lpstr>Pyrazinamide</vt:lpstr>
      <vt:lpstr>SST R</vt:lpstr>
      <vt:lpstr>'Ethambutol hydrochloride (2)'!Print_Area</vt:lpstr>
      <vt:lpstr>Isoniazid!Print_Area</vt:lpstr>
      <vt:lpstr>Pyrazinamide!Print_Area</vt:lpstr>
      <vt:lpstr>Rifampicin!Print_Area</vt:lpstr>
      <vt:lpstr>'SST P'!Print_Area</vt:lpstr>
      <vt:lpstr>'SST R'!Print_Area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2016-06-15T04:22:47Z</cp:lastPrinted>
  <dcterms:created xsi:type="dcterms:W3CDTF">2005-07-05T10:19:27Z</dcterms:created>
  <dcterms:modified xsi:type="dcterms:W3CDTF">2016-06-15T04:25:32Z</dcterms:modified>
</cp:coreProperties>
</file>