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Rifampicin" sheetId="1" r:id="rId1"/>
    <sheet name="Uniformity" sheetId="2" r:id="rId2"/>
    <sheet name="Rifampicin" sheetId="3" r:id="rId3"/>
    <sheet name="SST Isoniazid" sheetId="5" r:id="rId4"/>
    <sheet name="Isoniazid" sheetId="4" r:id="rId5"/>
  </sheets>
  <definedNames>
    <definedName name="_xlnm.Print_Area" localSheetId="4">Isoniazid!$A$1:$I$124</definedName>
    <definedName name="_xlnm.Print_Area" localSheetId="2">Rifampicin!$A$1:$I$124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5" l="1"/>
  <c r="B20" i="5"/>
  <c r="B21" i="1"/>
  <c r="B20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D102" i="4" s="1"/>
  <c r="D97" i="4"/>
  <c r="D98" i="4" s="1"/>
  <c r="E94" i="4" s="1"/>
  <c r="I92" i="4"/>
  <c r="I39" i="4"/>
  <c r="D49" i="4"/>
  <c r="F44" i="4"/>
  <c r="F45" i="4" s="1"/>
  <c r="D45" i="4"/>
  <c r="D46" i="4" s="1"/>
  <c r="I92" i="3"/>
  <c r="D101" i="3"/>
  <c r="D102" i="3" s="1"/>
  <c r="D97" i="3"/>
  <c r="D98" i="3" s="1"/>
  <c r="D49" i="3"/>
  <c r="F44" i="3"/>
  <c r="F45" i="3" s="1"/>
  <c r="G40" i="3" s="1"/>
  <c r="D45" i="3"/>
  <c r="E39" i="3" s="1"/>
  <c r="I39" i="3"/>
  <c r="E38" i="3"/>
  <c r="G41" i="3"/>
  <c r="F98" i="3"/>
  <c r="F98" i="4"/>
  <c r="G93" i="4" s="1"/>
  <c r="D29" i="2"/>
  <c r="D37" i="2"/>
  <c r="D41" i="2"/>
  <c r="D27" i="2"/>
  <c r="D31" i="2"/>
  <c r="D35" i="2"/>
  <c r="D39" i="2"/>
  <c r="D43" i="2"/>
  <c r="C49" i="2"/>
  <c r="C50" i="2"/>
  <c r="D24" i="2"/>
  <c r="D28" i="2"/>
  <c r="D32" i="2"/>
  <c r="D36" i="2"/>
  <c r="D40" i="2"/>
  <c r="D49" i="2"/>
  <c r="E41" i="3"/>
  <c r="B57" i="3"/>
  <c r="B69" i="3" s="1"/>
  <c r="G94" i="3"/>
  <c r="B57" i="4"/>
  <c r="B69" i="4" s="1"/>
  <c r="D33" i="2"/>
  <c r="D26" i="2"/>
  <c r="D30" i="2"/>
  <c r="D34" i="2"/>
  <c r="D38" i="2"/>
  <c r="D42" i="2"/>
  <c r="B49" i="2"/>
  <c r="E40" i="3"/>
  <c r="G92" i="4" l="1"/>
  <c r="E92" i="4"/>
  <c r="E40" i="4"/>
  <c r="E38" i="4"/>
  <c r="F46" i="4"/>
  <c r="G41" i="4"/>
  <c r="G40" i="4"/>
  <c r="G39" i="4"/>
  <c r="G38" i="4"/>
  <c r="E39" i="4"/>
  <c r="E41" i="4"/>
  <c r="G93" i="3"/>
  <c r="E91" i="3"/>
  <c r="E94" i="3"/>
  <c r="E92" i="3"/>
  <c r="G92" i="3"/>
  <c r="D46" i="3"/>
  <c r="F46" i="3"/>
  <c r="G39" i="3"/>
  <c r="G38" i="3"/>
  <c r="G42" i="3" s="1"/>
  <c r="G94" i="4"/>
  <c r="E91" i="4"/>
  <c r="G91" i="4"/>
  <c r="F99" i="4"/>
  <c r="D99" i="4"/>
  <c r="E93" i="4"/>
  <c r="G91" i="3"/>
  <c r="F99" i="3"/>
  <c r="E42" i="3"/>
  <c r="D52" i="3"/>
  <c r="D99" i="3"/>
  <c r="E93" i="3"/>
  <c r="G42" i="4" l="1"/>
  <c r="E42" i="4"/>
  <c r="D52" i="4"/>
  <c r="D50" i="4"/>
  <c r="G68" i="4" s="1"/>
  <c r="H68" i="4" s="1"/>
  <c r="G95" i="4"/>
  <c r="G95" i="3"/>
  <c r="E95" i="3"/>
  <c r="D105" i="3"/>
  <c r="D50" i="3"/>
  <c r="G68" i="3" s="1"/>
  <c r="H68" i="3" s="1"/>
  <c r="D103" i="3"/>
  <c r="E112" i="3" s="1"/>
  <c r="F112" i="3" s="1"/>
  <c r="E95" i="4"/>
  <c r="D105" i="4"/>
  <c r="D103" i="4"/>
  <c r="G65" i="4" l="1"/>
  <c r="H65" i="4" s="1"/>
  <c r="G67" i="4"/>
  <c r="H67" i="4" s="1"/>
  <c r="D51" i="4"/>
  <c r="G69" i="4"/>
  <c r="H69" i="4" s="1"/>
  <c r="G66" i="4"/>
  <c r="H66" i="4" s="1"/>
  <c r="G64" i="4"/>
  <c r="H64" i="4" s="1"/>
  <c r="G70" i="4"/>
  <c r="H70" i="4" s="1"/>
  <c r="G71" i="4"/>
  <c r="H71" i="4" s="1"/>
  <c r="G61" i="4"/>
  <c r="H61" i="4" s="1"/>
  <c r="G62" i="4"/>
  <c r="H62" i="4" s="1"/>
  <c r="G63" i="4"/>
  <c r="H63" i="4" s="1"/>
  <c r="G60" i="4"/>
  <c r="E113" i="3"/>
  <c r="F113" i="3" s="1"/>
  <c r="G61" i="3"/>
  <c r="H61" i="3" s="1"/>
  <c r="G63" i="3"/>
  <c r="H63" i="3" s="1"/>
  <c r="G60" i="3"/>
  <c r="H60" i="3" s="1"/>
  <c r="G62" i="3"/>
  <c r="H62" i="3" s="1"/>
  <c r="G65" i="3"/>
  <c r="H65" i="3" s="1"/>
  <c r="G64" i="3"/>
  <c r="H64" i="3" s="1"/>
  <c r="G66" i="3"/>
  <c r="H66" i="3" s="1"/>
  <c r="G67" i="3"/>
  <c r="H67" i="3" s="1"/>
  <c r="G69" i="3"/>
  <c r="H69" i="3" s="1"/>
  <c r="G71" i="3"/>
  <c r="H71" i="3" s="1"/>
  <c r="G70" i="3"/>
  <c r="H70" i="3" s="1"/>
  <c r="D51" i="3"/>
  <c r="D104" i="3"/>
  <c r="E109" i="3"/>
  <c r="F109" i="3" s="1"/>
  <c r="E110" i="3"/>
  <c r="F110" i="3" s="1"/>
  <c r="E108" i="3"/>
  <c r="F108" i="3" s="1"/>
  <c r="E111" i="3"/>
  <c r="F111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H60" i="4"/>
  <c r="H72" i="4" s="1"/>
  <c r="E115" i="3"/>
  <c r="E116" i="3" s="1"/>
  <c r="G74" i="3"/>
  <c r="G72" i="3"/>
  <c r="G73" i="3" s="1"/>
  <c r="E117" i="3"/>
  <c r="E115" i="4"/>
  <c r="E116" i="4" s="1"/>
  <c r="E117" i="4"/>
  <c r="F108" i="4"/>
  <c r="H74" i="3"/>
  <c r="H72" i="3"/>
  <c r="F117" i="3"/>
  <c r="F115" i="3"/>
  <c r="H74" i="4"/>
  <c r="G120" i="3" l="1"/>
  <c r="F116" i="3"/>
  <c r="F117" i="4"/>
  <c r="F115" i="4"/>
  <c r="G76" i="4"/>
  <c r="H73" i="4"/>
  <c r="G76" i="3"/>
  <c r="H73" i="3"/>
  <c r="G120" i="4" l="1"/>
  <c r="F116" i="4"/>
</calcChain>
</file>

<file path=xl/sharedStrings.xml><?xml version="1.0" encoding="utf-8"?>
<sst xmlns="http://schemas.openxmlformats.org/spreadsheetml/2006/main" count="440" uniqueCount="131">
  <si>
    <t>HPLC System Suitability Report</t>
  </si>
  <si>
    <t>Analysis Data</t>
  </si>
  <si>
    <t>Assay</t>
  </si>
  <si>
    <t>Sample(s)</t>
  </si>
  <si>
    <t>Reference Substance:</t>
  </si>
  <si>
    <t>Rifampicin and Isoniazid Tablets</t>
  </si>
  <si>
    <t>% age Purity:</t>
  </si>
  <si>
    <t>NDQD201511529</t>
  </si>
  <si>
    <t>Weight (mg):</t>
  </si>
  <si>
    <t>Rifampicin, Isoniazid</t>
  </si>
  <si>
    <t>Standard Conc (mg/mL):</t>
  </si>
  <si>
    <t>Rifampicin 150mg, Isoniazid 75mg</t>
  </si>
  <si>
    <t>2015-11-06 10:48:51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</si>
  <si>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</si>
  <si>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</si>
  <si>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</si>
  <si>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</si>
  <si>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</si>
  <si>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</si>
  <si>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</si>
  <si>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</si>
  <si>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</si>
  <si>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</si>
  <si>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</si>
  <si>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</si>
  <si>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</si>
  <si>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</si>
  <si>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</si>
  <si>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</si>
  <si>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</si>
  <si>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</si>
  <si>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</si>
  <si>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</si>
  <si>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</si>
  <si>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</si>
  <si>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</si>
  <si>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</si>
  <si>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</si>
  <si>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</si>
  <si>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</si>
  <si>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</si>
  <si>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</si>
  <si>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</si>
  <si>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</si>
  <si>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</si>
  <si>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</si>
  <si>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</si>
  <si>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</si>
  <si>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</si>
  <si>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</si>
  <si>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</si>
  <si>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</si>
  <si>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</si>
  <si>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</si>
  <si>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</si>
  <si>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</si>
  <si>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</si>
  <si>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</si>
  <si>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</si>
  <si>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</si>
  <si>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</si>
  <si>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</si>
  <si>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</si>
  <si>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</si>
  <si>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</si>
  <si>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</si>
  <si>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</si>
  <si>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</si>
  <si>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</si>
  <si>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</si>
  <si>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</si>
  <si>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</si>
  <si>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</si>
  <si>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</si>
  <si>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</si>
  <si>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</si>
  <si>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</si>
  <si>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</si>
  <si>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</si>
  <si>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</si>
  <si>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</si>
  <si>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</si>
  <si>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</si>
  <si>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</si>
  <si>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</si>
  <si>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</si>
  <si>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</si>
  <si>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</si>
  <si>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</si>
  <si>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</si>
  <si>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</si>
  <si>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</si>
  <si>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</si>
  <si>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</si>
  <si>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</si>
  <si>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</si>
  <si>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</si>
  <si>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</si>
  <si>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</si>
  <si>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</si>
  <si>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</si>
  <si>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</si>
  <si>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</si>
  <si>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</si>
  <si>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</si>
  <si>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</si>
  <si>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</si>
  <si>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</si>
  <si>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</si>
  <si>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</si>
  <si>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</si>
  <si>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</si>
  <si>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</si>
  <si>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</si>
  <si>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</si>
  <si>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</si>
  <si>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</si>
  <si>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</si>
  <si>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</si>
  <si>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</si>
  <si>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</si>
  <si>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</si>
  <si>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</si>
  <si>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</si>
  <si>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</si>
  <si>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</si>
  <si>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RUTTO/JOYFRIDA</t>
  </si>
  <si>
    <t>Isoniazid</t>
  </si>
  <si>
    <t>13/06/2016</t>
  </si>
  <si>
    <t>R5-1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</si>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</sst>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B17" sqref="B17: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f>Rifampicin!D43</f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17.76/100</f>
        <v>0.17760000000000001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18</v>
      </c>
      <c r="B30" s="24">
        <f>AVERAGE(B24:B29)</f>
        <v>55529344.166666664</v>
      </c>
      <c r="C30" s="25">
        <f>AVERAGE(C24:C29)</f>
        <v>46012.235000000008</v>
      </c>
      <c r="D30" s="26">
        <f>AVERAGE(D24:D29)</f>
        <v>1.1466666666666665</v>
      </c>
      <c r="E30" s="26">
        <f>AVERAGE(E24:E29)</f>
        <v>8.4333333333333318</v>
      </c>
    </row>
    <row r="31" spans="1:6" ht="16.5" customHeight="1" x14ac:dyDescent="0.3">
      <c r="A31" s="27" t="s">
        <v>19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26</v>
      </c>
      <c r="C59" s="46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126</v>
      </c>
      <c r="C60" s="48"/>
      <c r="E60" s="48" t="s">
        <v>128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33</v>
      </c>
      <c r="B14" s="474"/>
      <c r="C14" s="60" t="s">
        <v>5</v>
      </c>
    </row>
    <row r="15" spans="1:7" ht="16.5" customHeight="1" x14ac:dyDescent="0.3">
      <c r="A15" s="474" t="s">
        <v>34</v>
      </c>
      <c r="B15" s="474"/>
      <c r="C15" s="60" t="s">
        <v>7</v>
      </c>
    </row>
    <row r="16" spans="1:7" ht="16.5" customHeight="1" x14ac:dyDescent="0.3">
      <c r="A16" s="474" t="s">
        <v>35</v>
      </c>
      <c r="B16" s="474"/>
      <c r="C16" s="60" t="s">
        <v>9</v>
      </c>
    </row>
    <row r="17" spans="1:5" ht="16.5" customHeight="1" x14ac:dyDescent="0.3">
      <c r="A17" s="474" t="s">
        <v>36</v>
      </c>
      <c r="B17" s="474"/>
      <c r="C17" s="60" t="s">
        <v>11</v>
      </c>
    </row>
    <row r="18" spans="1:5" ht="16.5" customHeight="1" x14ac:dyDescent="0.3">
      <c r="A18" s="474" t="s">
        <v>37</v>
      </c>
      <c r="B18" s="474"/>
      <c r="C18" s="97" t="s">
        <v>12</v>
      </c>
    </row>
    <row r="19" spans="1:5" ht="16.5" customHeight="1" x14ac:dyDescent="0.3">
      <c r="A19" s="474" t="s">
        <v>38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39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376.25</v>
      </c>
      <c r="D24" s="87">
        <f t="shared" ref="D24:D43" si="0">(C24-$C$46)/$C$46</f>
        <v>3.3480491047201588E-3</v>
      </c>
      <c r="E24" s="53"/>
    </row>
    <row r="25" spans="1:5" ht="15.75" customHeight="1" x14ac:dyDescent="0.3">
      <c r="C25" s="95">
        <v>369.05</v>
      </c>
      <c r="D25" s="88">
        <f t="shared" si="0"/>
        <v>-1.5852232499410004E-2</v>
      </c>
      <c r="E25" s="53"/>
    </row>
    <row r="26" spans="1:5" ht="15.75" customHeight="1" x14ac:dyDescent="0.3">
      <c r="C26" s="95">
        <v>375.86</v>
      </c>
      <c r="D26" s="88">
        <f t="shared" si="0"/>
        <v>2.3080338511631431E-3</v>
      </c>
      <c r="E26" s="53"/>
    </row>
    <row r="27" spans="1:5" ht="15.75" customHeight="1" x14ac:dyDescent="0.3">
      <c r="C27" s="95">
        <v>378.56</v>
      </c>
      <c r="D27" s="88">
        <f t="shared" si="0"/>
        <v>9.5081394527119344E-3</v>
      </c>
      <c r="E27" s="53"/>
    </row>
    <row r="28" spans="1:5" ht="15.75" customHeight="1" x14ac:dyDescent="0.3">
      <c r="C28" s="95">
        <v>379.98</v>
      </c>
      <c r="D28" s="88">
        <f t="shared" si="0"/>
        <v>1.3294861657970988E-2</v>
      </c>
      <c r="E28" s="53"/>
    </row>
    <row r="29" spans="1:5" ht="15.75" customHeight="1" x14ac:dyDescent="0.3">
      <c r="C29" s="95">
        <v>377.02</v>
      </c>
      <c r="D29" s="88">
        <f t="shared" si="0"/>
        <v>5.4014125540507007E-3</v>
      </c>
      <c r="E29" s="53"/>
    </row>
    <row r="30" spans="1:5" ht="15.75" customHeight="1" x14ac:dyDescent="0.3">
      <c r="C30" s="95">
        <v>375.88</v>
      </c>
      <c r="D30" s="88">
        <f t="shared" si="0"/>
        <v>2.3613679667301227E-3</v>
      </c>
      <c r="E30" s="53"/>
    </row>
    <row r="31" spans="1:5" ht="15.75" customHeight="1" x14ac:dyDescent="0.3">
      <c r="C31" s="95">
        <v>373.65</v>
      </c>
      <c r="D31" s="88">
        <f t="shared" si="0"/>
        <v>-3.5853859189935826E-3</v>
      </c>
      <c r="E31" s="53"/>
    </row>
    <row r="32" spans="1:5" ht="15.75" customHeight="1" x14ac:dyDescent="0.3">
      <c r="C32" s="95">
        <v>376.87</v>
      </c>
      <c r="D32" s="88">
        <f t="shared" si="0"/>
        <v>5.0014066872980482E-3</v>
      </c>
      <c r="E32" s="53"/>
    </row>
    <row r="33" spans="1:7" ht="15.75" customHeight="1" x14ac:dyDescent="0.3">
      <c r="C33" s="95">
        <v>374.16</v>
      </c>
      <c r="D33" s="88">
        <f t="shared" si="0"/>
        <v>-2.2253659720342335E-3</v>
      </c>
      <c r="E33" s="53"/>
    </row>
    <row r="34" spans="1:7" ht="15.75" customHeight="1" x14ac:dyDescent="0.3">
      <c r="C34" s="95">
        <v>376.89</v>
      </c>
      <c r="D34" s="88">
        <f t="shared" si="0"/>
        <v>5.0547408028650282E-3</v>
      </c>
      <c r="E34" s="53"/>
    </row>
    <row r="35" spans="1:7" ht="15.75" customHeight="1" x14ac:dyDescent="0.3">
      <c r="C35" s="95">
        <v>374.74</v>
      </c>
      <c r="D35" s="88">
        <f t="shared" si="0"/>
        <v>-6.786766205904547E-4</v>
      </c>
      <c r="E35" s="53"/>
    </row>
    <row r="36" spans="1:7" ht="15.75" customHeight="1" x14ac:dyDescent="0.3">
      <c r="C36" s="95">
        <v>372.63</v>
      </c>
      <c r="D36" s="88">
        <f t="shared" si="0"/>
        <v>-6.3054258129119781E-3</v>
      </c>
      <c r="E36" s="53"/>
    </row>
    <row r="37" spans="1:7" ht="15.75" customHeight="1" x14ac:dyDescent="0.3">
      <c r="C37" s="95">
        <v>373.33</v>
      </c>
      <c r="D37" s="88">
        <f t="shared" si="0"/>
        <v>-4.4387317680660175E-3</v>
      </c>
      <c r="E37" s="53"/>
    </row>
    <row r="38" spans="1:7" ht="15.75" customHeight="1" x14ac:dyDescent="0.3">
      <c r="C38" s="95">
        <v>372.2</v>
      </c>
      <c r="D38" s="88">
        <f t="shared" si="0"/>
        <v>-7.4521092976031055E-3</v>
      </c>
      <c r="E38" s="53"/>
    </row>
    <row r="39" spans="1:7" ht="15.75" customHeight="1" x14ac:dyDescent="0.3">
      <c r="C39" s="95">
        <v>374.66</v>
      </c>
      <c r="D39" s="88">
        <f t="shared" si="0"/>
        <v>-8.9201308285852547E-4</v>
      </c>
      <c r="E39" s="53"/>
    </row>
    <row r="40" spans="1:7" ht="15.75" customHeight="1" x14ac:dyDescent="0.3">
      <c r="C40" s="95">
        <v>374.43</v>
      </c>
      <c r="D40" s="88">
        <f t="shared" si="0"/>
        <v>-1.5053554118793996E-3</v>
      </c>
      <c r="E40" s="53"/>
    </row>
    <row r="41" spans="1:7" ht="15.75" customHeight="1" x14ac:dyDescent="0.3">
      <c r="C41" s="95">
        <v>378.25</v>
      </c>
      <c r="D41" s="88">
        <f t="shared" si="0"/>
        <v>8.6814606614229895E-3</v>
      </c>
      <c r="E41" s="53"/>
    </row>
    <row r="42" spans="1:7" ht="15.75" customHeight="1" x14ac:dyDescent="0.3">
      <c r="C42" s="95">
        <v>372.8</v>
      </c>
      <c r="D42" s="88">
        <f t="shared" si="0"/>
        <v>-5.8520858305921948E-3</v>
      </c>
      <c r="E42" s="53"/>
    </row>
    <row r="43" spans="1:7" ht="16.5" customHeight="1" x14ac:dyDescent="0.3">
      <c r="C43" s="96">
        <v>372.68</v>
      </c>
      <c r="D43" s="89">
        <f t="shared" si="0"/>
        <v>-6.1720905239943773E-3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7499.89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374.99450000000002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7">
        <f>C46</f>
        <v>374.99450000000002</v>
      </c>
      <c r="C49" s="93">
        <f>-IF(C46&lt;=80,10%,IF(C46&lt;250,7.5%,5%))</f>
        <v>-0.05</v>
      </c>
      <c r="D49" s="81">
        <f>IF(C46&lt;=80,C46*0.9,IF(C46&lt;250,C46*0.925,C46*0.95))</f>
        <v>356.244775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393.74422500000003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2" sqref="A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98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100" t="s">
        <v>33</v>
      </c>
      <c r="B18" s="475" t="s">
        <v>5</v>
      </c>
      <c r="C18" s="475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80" t="s">
        <v>125</v>
      </c>
      <c r="C20" s="48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104"/>
    </row>
    <row r="22" spans="1:14" ht="26.25" customHeight="1" x14ac:dyDescent="0.4">
      <c r="A22" s="100" t="s">
        <v>37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5" t="s">
        <v>125</v>
      </c>
      <c r="C26" s="475"/>
    </row>
    <row r="27" spans="1:14" ht="26.25" customHeight="1" x14ac:dyDescent="0.4">
      <c r="A27" s="109" t="s">
        <v>48</v>
      </c>
      <c r="B27" s="481" t="s">
        <v>129</v>
      </c>
      <c r="C27" s="481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49</v>
      </c>
      <c r="B29" s="111">
        <v>0</v>
      </c>
      <c r="C29" s="482" t="s">
        <v>50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5" t="s">
        <v>53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5" t="s">
        <v>55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88" t="s">
        <v>59</v>
      </c>
      <c r="E36" s="489"/>
      <c r="F36" s="488" t="s">
        <v>60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55486828</v>
      </c>
      <c r="E38" s="133">
        <f>IF(ISBLANK(D38),"-",$D$48/$D$45*D38)</f>
        <v>50188888.888888896</v>
      </c>
      <c r="F38" s="132">
        <v>49127867</v>
      </c>
      <c r="G38" s="134">
        <f>IF(ISBLANK(F38),"-",$D$48/$F$45*F38)</f>
        <v>50428286.436480738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55017207</v>
      </c>
      <c r="E39" s="138">
        <f>IF(ISBLANK(D39),"-",$D$48/$D$45*D39)</f>
        <v>49764107.782481283</v>
      </c>
      <c r="F39" s="137">
        <v>49043415</v>
      </c>
      <c r="G39" s="139">
        <f>IF(ISBLANK(F39),"-",$D$48/$F$45*F39)</f>
        <v>50341598.9837946</v>
      </c>
      <c r="I39" s="492">
        <f>ABS((F43/D43*D42)-F42)/D42</f>
        <v>7.87171238077106E-3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54969938</v>
      </c>
      <c r="E40" s="138">
        <f>IF(ISBLANK(D40),"-",$D$48/$D$45*D40)</f>
        <v>49721352.074966535</v>
      </c>
      <c r="F40" s="137">
        <v>48945903</v>
      </c>
      <c r="G40" s="139">
        <f>IF(ISBLANK(F40),"-",$D$48/$F$45*F40)</f>
        <v>50241505.83163324</v>
      </c>
      <c r="I40" s="49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55157991</v>
      </c>
      <c r="E42" s="148">
        <f>AVERAGE(E38:E41)</f>
        <v>49891449.58211223</v>
      </c>
      <c r="F42" s="147">
        <f>AVERAGE(F38:F41)</f>
        <v>49039061.666666664</v>
      </c>
      <c r="G42" s="149">
        <f>AVERAGE(G38:G41)</f>
        <v>50337130.417302854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17.688959999999998</v>
      </c>
      <c r="E45" s="158"/>
      <c r="F45" s="157">
        <f>F44*$B$30/100</f>
        <v>15.587400000000001</v>
      </c>
      <c r="H45" s="150"/>
    </row>
    <row r="46" spans="1:14" ht="19.5" customHeight="1" x14ac:dyDescent="0.3">
      <c r="A46" s="493" t="s">
        <v>78</v>
      </c>
      <c r="B46" s="494"/>
      <c r="C46" s="153" t="s">
        <v>79</v>
      </c>
      <c r="D46" s="159">
        <f>D45/$B$45</f>
        <v>0.17688959999999998</v>
      </c>
      <c r="E46" s="160"/>
      <c r="F46" s="161">
        <f>F45/$B$45</f>
        <v>0.15587400000000001</v>
      </c>
      <c r="H46" s="150"/>
    </row>
    <row r="47" spans="1:14" ht="27" customHeight="1" x14ac:dyDescent="0.4">
      <c r="A47" s="495"/>
      <c r="B47" s="496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50114289.999707542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5.9799263105393278E-3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Rifampicin 150mg, Isoniazid 75mg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Rifampicin</v>
      </c>
      <c r="H56" s="179"/>
    </row>
    <row r="57" spans="1:12" ht="18.75" x14ac:dyDescent="0.3">
      <c r="A57" s="176" t="s">
        <v>88</v>
      </c>
      <c r="B57" s="268">
        <f>Uniformity!C46</f>
        <v>374.99450000000002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97" t="s">
        <v>94</v>
      </c>
      <c r="D60" s="500">
        <v>38.270000000000003</v>
      </c>
      <c r="E60" s="182">
        <v>1</v>
      </c>
      <c r="F60" s="183">
        <v>45905285</v>
      </c>
      <c r="G60" s="269">
        <f>IF(ISBLANK(F60),"-",(F60/$D$50*$D$47*$B$68)*($B$57/$D$60))</f>
        <v>143.61093993347777</v>
      </c>
      <c r="H60" s="184">
        <f t="shared" ref="H60:H71" si="0">IF(ISBLANK(F60),"-",G60/$B$56)</f>
        <v>0.95740626622318514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98"/>
      <c r="D61" s="501"/>
      <c r="E61" s="185">
        <v>2</v>
      </c>
      <c r="F61" s="137">
        <v>45873617</v>
      </c>
      <c r="G61" s="270">
        <f>IF(ISBLANK(F61),"-",(F61/$D$50*$D$47*$B$68)*($B$57/$D$60))</f>
        <v>143.51186917842605</v>
      </c>
      <c r="H61" s="186">
        <f t="shared" si="0"/>
        <v>0.95674579452284036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8"/>
      <c r="D62" s="501"/>
      <c r="E62" s="185">
        <v>3</v>
      </c>
      <c r="F62" s="187">
        <v>45917997</v>
      </c>
      <c r="G62" s="270">
        <f>IF(ISBLANK(F62),"-",(F62/$D$50*$D$47*$B$68)*($B$57/$D$60))</f>
        <v>143.6507083886444</v>
      </c>
      <c r="H62" s="186">
        <f t="shared" si="0"/>
        <v>0.9576713892576294</v>
      </c>
      <c r="L62" s="112"/>
    </row>
    <row r="63" spans="1:12" ht="27" customHeight="1" x14ac:dyDescent="0.4">
      <c r="A63" s="124" t="s">
        <v>97</v>
      </c>
      <c r="B63" s="125">
        <v>1</v>
      </c>
      <c r="C63" s="499"/>
      <c r="D63" s="502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7" t="s">
        <v>99</v>
      </c>
      <c r="D64" s="500">
        <v>39.21</v>
      </c>
      <c r="E64" s="182">
        <v>1</v>
      </c>
      <c r="F64" s="183">
        <v>46507595</v>
      </c>
      <c r="G64" s="271">
        <f>IF(ISBLANK(F64),"-",(F64/$D$50*$D$47*$B$68)*($B$57/$D$64))</f>
        <v>142.00719151138489</v>
      </c>
      <c r="H64" s="190">
        <f t="shared" si="0"/>
        <v>0.9467146100758993</v>
      </c>
    </row>
    <row r="65" spans="1:8" ht="26.25" customHeight="1" x14ac:dyDescent="0.4">
      <c r="A65" s="124" t="s">
        <v>100</v>
      </c>
      <c r="B65" s="125">
        <v>1</v>
      </c>
      <c r="C65" s="498"/>
      <c r="D65" s="501"/>
      <c r="E65" s="185">
        <v>2</v>
      </c>
      <c r="F65" s="137">
        <v>46400881</v>
      </c>
      <c r="G65" s="272">
        <f>IF(ISBLANK(F65),"-",(F65/$D$50*$D$47*$B$68)*($B$57/$D$64))</f>
        <v>141.68134891653676</v>
      </c>
      <c r="H65" s="191">
        <f t="shared" si="0"/>
        <v>0.94454232611024513</v>
      </c>
    </row>
    <row r="66" spans="1:8" ht="26.25" customHeight="1" x14ac:dyDescent="0.4">
      <c r="A66" s="124" t="s">
        <v>101</v>
      </c>
      <c r="B66" s="125">
        <v>1</v>
      </c>
      <c r="C66" s="498"/>
      <c r="D66" s="501"/>
      <c r="E66" s="185">
        <v>3</v>
      </c>
      <c r="F66" s="137">
        <v>46414261</v>
      </c>
      <c r="G66" s="272">
        <f>IF(ISBLANK(F66),"-",(F66/$D$50*$D$47*$B$68)*($B$57/$D$64))</f>
        <v>141.72220366773217</v>
      </c>
      <c r="H66" s="191">
        <f t="shared" si="0"/>
        <v>0.94481469111821448</v>
      </c>
    </row>
    <row r="67" spans="1:8" ht="27" customHeight="1" x14ac:dyDescent="0.4">
      <c r="A67" s="124" t="s">
        <v>102</v>
      </c>
      <c r="B67" s="125">
        <v>1</v>
      </c>
      <c r="C67" s="499"/>
      <c r="D67" s="502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497" t="s">
        <v>104</v>
      </c>
      <c r="D68" s="500">
        <v>40.29</v>
      </c>
      <c r="E68" s="182">
        <v>1</v>
      </c>
      <c r="F68" s="183">
        <v>49165957</v>
      </c>
      <c r="G68" s="271">
        <f>IF(ISBLANK(F68),"-",(F68/$D$50*$D$47*$B$68)*($B$57/$D$68))</f>
        <v>146.10010513793117</v>
      </c>
      <c r="H68" s="186">
        <f t="shared" si="0"/>
        <v>0.97400070091954116</v>
      </c>
    </row>
    <row r="69" spans="1:8" ht="27" customHeight="1" x14ac:dyDescent="0.4">
      <c r="A69" s="172" t="s">
        <v>105</v>
      </c>
      <c r="B69" s="194">
        <f>(D47*B68)/B56*B57</f>
        <v>39.999413333333337</v>
      </c>
      <c r="C69" s="498"/>
      <c r="D69" s="501"/>
      <c r="E69" s="185">
        <v>2</v>
      </c>
      <c r="F69" s="137">
        <v>49117190</v>
      </c>
      <c r="G69" s="272">
        <f>IF(ISBLANK(F69),"-",(F69/$D$50*$D$47*$B$68)*($B$57/$D$68))</f>
        <v>145.95519056162661</v>
      </c>
      <c r="H69" s="186">
        <f t="shared" si="0"/>
        <v>0.97303460374417738</v>
      </c>
    </row>
    <row r="70" spans="1:8" ht="26.25" customHeight="1" x14ac:dyDescent="0.4">
      <c r="A70" s="510" t="s">
        <v>78</v>
      </c>
      <c r="B70" s="511"/>
      <c r="C70" s="498"/>
      <c r="D70" s="501"/>
      <c r="E70" s="185">
        <v>3</v>
      </c>
      <c r="F70" s="137">
        <v>49139530</v>
      </c>
      <c r="G70" s="272">
        <f>IF(ISBLANK(F70),"-",(F70/$D$50*$D$47*$B$68)*($B$57/$D$68))</f>
        <v>146.02157544555723</v>
      </c>
      <c r="H70" s="186">
        <f t="shared" si="0"/>
        <v>0.97347716963704822</v>
      </c>
    </row>
    <row r="71" spans="1:8" ht="27" customHeight="1" x14ac:dyDescent="0.4">
      <c r="A71" s="512"/>
      <c r="B71" s="513"/>
      <c r="C71" s="509"/>
      <c r="D71" s="502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143.80679252681298</v>
      </c>
      <c r="H72" s="199">
        <f>AVERAGE(H60:H71)</f>
        <v>0.95871195017875321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1.2782336379945556E-2</v>
      </c>
      <c r="H73" s="274">
        <f>STDEV(H60:H71)/H72</f>
        <v>1.2782336379945554E-2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505" t="str">
        <f>B20</f>
        <v>Rifampicin</v>
      </c>
      <c r="D76" s="505"/>
      <c r="E76" s="205" t="s">
        <v>108</v>
      </c>
      <c r="F76" s="205"/>
      <c r="G76" s="206">
        <f>H72</f>
        <v>0.95871195017875321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1" t="str">
        <f>B26</f>
        <v>Rifampicin</v>
      </c>
      <c r="C79" s="491"/>
    </row>
    <row r="80" spans="1:8" ht="26.25" customHeight="1" x14ac:dyDescent="0.4">
      <c r="A80" s="109" t="s">
        <v>48</v>
      </c>
      <c r="B80" s="491" t="str">
        <f>B27</f>
        <v>R5-1</v>
      </c>
      <c r="C80" s="491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49</v>
      </c>
      <c r="B82" s="111">
        <v>0</v>
      </c>
      <c r="C82" s="482" t="s">
        <v>50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5" t="s">
        <v>111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5" t="s">
        <v>112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488" t="s">
        <v>60</v>
      </c>
      <c r="G89" s="490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132">
        <v>55486828</v>
      </c>
      <c r="E91" s="133">
        <f>IF(ISBLANK(D91),"-",$D$101/$D$98*D91)</f>
        <v>52280092.59259259</v>
      </c>
      <c r="F91" s="132">
        <v>49127867</v>
      </c>
      <c r="G91" s="134">
        <f>IF(ISBLANK(F91),"-",$D$101/$F$98*F91)</f>
        <v>52529465.038000762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55017207</v>
      </c>
      <c r="E92" s="138">
        <f>IF(ISBLANK(D92),"-",$D$101/$D$98*D92)</f>
        <v>51837612.273417994</v>
      </c>
      <c r="F92" s="137">
        <v>49043415</v>
      </c>
      <c r="G92" s="139">
        <f>IF(ISBLANK(F92),"-",$D$101/$F$98*F92)</f>
        <v>52439165.608119361</v>
      </c>
      <c r="I92" s="492">
        <f>ABS((F96/D96*D95)-F95)/D95</f>
        <v>7.87171238077106E-3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54969938</v>
      </c>
      <c r="E93" s="138">
        <f>IF(ISBLANK(D93),"-",$D$101/$D$98*D93)</f>
        <v>51793075.078090139</v>
      </c>
      <c r="F93" s="137">
        <v>48945903</v>
      </c>
      <c r="G93" s="139">
        <f>IF(ISBLANK(F93),"-",$D$101/$F$98*F93)</f>
        <v>52334901.90795128</v>
      </c>
      <c r="I93" s="492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55157991</v>
      </c>
      <c r="E95" s="148">
        <f>AVERAGE(E91:E94)</f>
        <v>51970259.981366903</v>
      </c>
      <c r="F95" s="218">
        <f>AVERAGE(F91:F94)</f>
        <v>49039061.666666664</v>
      </c>
      <c r="G95" s="219">
        <f>AVERAGE(G91:G94)</f>
        <v>52434510.85135714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17.760000000000002</v>
      </c>
      <c r="E96" s="140"/>
      <c r="F96" s="152">
        <v>15.65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17.760000000000002</v>
      </c>
      <c r="E97" s="155"/>
      <c r="F97" s="154">
        <f>F96*$B$87</f>
        <v>15.65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17.688959999999998</v>
      </c>
      <c r="E98" s="158"/>
      <c r="F98" s="157">
        <f>F97*$B$83/100</f>
        <v>15.587400000000001</v>
      </c>
    </row>
    <row r="99" spans="1:10" ht="19.5" customHeight="1" x14ac:dyDescent="0.3">
      <c r="A99" s="493" t="s">
        <v>78</v>
      </c>
      <c r="B99" s="507"/>
      <c r="C99" s="222" t="s">
        <v>116</v>
      </c>
      <c r="D99" s="226">
        <f>D98/$B$98</f>
        <v>0.17688959999999998</v>
      </c>
      <c r="E99" s="158"/>
      <c r="F99" s="161">
        <f>F98/$B$98</f>
        <v>0.15587400000000001</v>
      </c>
      <c r="G99" s="227"/>
      <c r="H99" s="150"/>
    </row>
    <row r="100" spans="1:10" ht="19.5" customHeight="1" x14ac:dyDescent="0.3">
      <c r="A100" s="495"/>
      <c r="B100" s="508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52202385.416362017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5.9799263105392826E-3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45919151</v>
      </c>
      <c r="E108" s="275">
        <f t="shared" ref="E108:E113" si="1">IF(ISBLANK(D108),"-",D108/$D$103*$D$100*$B$116)</f>
        <v>131.94555373404651</v>
      </c>
      <c r="F108" s="245">
        <f t="shared" ref="F108:F113" si="2">IF(ISBLANK(D108), "-", E108/$B$56)</f>
        <v>0.87963702489364337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46424838</v>
      </c>
      <c r="E109" s="276">
        <f t="shared" si="1"/>
        <v>133.39861089599421</v>
      </c>
      <c r="F109" s="246">
        <f t="shared" si="2"/>
        <v>0.88932407263996138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46238328</v>
      </c>
      <c r="E110" s="276">
        <f t="shared" si="1"/>
        <v>132.8626871105798</v>
      </c>
      <c r="F110" s="246">
        <f t="shared" si="2"/>
        <v>0.88575124740386535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49100442</v>
      </c>
      <c r="E111" s="276">
        <f t="shared" si="1"/>
        <v>141.08677680640119</v>
      </c>
      <c r="F111" s="246">
        <f t="shared" si="2"/>
        <v>0.94057851204267462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48962386</v>
      </c>
      <c r="E112" s="276">
        <f t="shared" si="1"/>
        <v>140.69008229072278</v>
      </c>
      <c r="F112" s="246">
        <f t="shared" si="2"/>
        <v>0.93793388193815186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45653449</v>
      </c>
      <c r="E113" s="277">
        <f t="shared" si="1"/>
        <v>131.18207712886615</v>
      </c>
      <c r="F113" s="249">
        <f t="shared" si="2"/>
        <v>0.87454718085910765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135.19429799443512</v>
      </c>
      <c r="F115" s="252">
        <f>AVERAGE(F108:F113)</f>
        <v>0.9012953199629008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3.3118682709362197E-2</v>
      </c>
      <c r="F116" s="254">
        <f>STDEV(F108:F113)/F115</f>
        <v>3.3118682709362211E-2</v>
      </c>
      <c r="I116" s="98"/>
    </row>
    <row r="117" spans="1:10" ht="27" customHeight="1" x14ac:dyDescent="0.4">
      <c r="A117" s="493" t="s">
        <v>78</v>
      </c>
      <c r="B117" s="4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5"/>
      <c r="B118" s="4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505" t="str">
        <f>B20</f>
        <v>Rifampicin</v>
      </c>
      <c r="D120" s="505"/>
      <c r="E120" s="205" t="s">
        <v>124</v>
      </c>
      <c r="F120" s="205"/>
      <c r="G120" s="206">
        <f>F115</f>
        <v>0.9012953199629008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6" t="s">
        <v>26</v>
      </c>
      <c r="C122" s="506"/>
      <c r="E122" s="211" t="s">
        <v>27</v>
      </c>
      <c r="F122" s="260"/>
      <c r="G122" s="506" t="s">
        <v>28</v>
      </c>
      <c r="H122" s="506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B24" sqref="B24:E29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f>Isoniazid!D43</f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f>9.86/100</f>
        <v>9.8599999999999993E-2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18</v>
      </c>
      <c r="B30" s="24">
        <f>AVERAGE(B24:B29)</f>
        <v>33693333.5</v>
      </c>
      <c r="C30" s="25">
        <f>AVERAGE(C24:C29)</f>
        <v>7948.0483333333332</v>
      </c>
      <c r="D30" s="26">
        <f>AVERAGE(D24:D29)</f>
        <v>1.0933333333333335</v>
      </c>
      <c r="E30" s="26">
        <f>AVERAGE(E24:E29)</f>
        <v>2.75</v>
      </c>
    </row>
    <row r="31" spans="1:5" ht="16.5" customHeight="1" x14ac:dyDescent="0.3">
      <c r="A31" s="27" t="s">
        <v>19</v>
      </c>
      <c r="B31" s="28">
        <f>(STDEV(B24:B29)/B30)</f>
        <v>1.6376040795256486E-3</v>
      </c>
      <c r="C31" s="29"/>
      <c r="D31" s="29"/>
      <c r="E31" s="30"/>
    </row>
    <row r="32" spans="1:5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0" customFormat="1" ht="15.75" customHeight="1" x14ac:dyDescent="0.25">
      <c r="A33" s="72"/>
      <c r="B33" s="72"/>
      <c r="C33" s="72"/>
      <c r="D33" s="72"/>
      <c r="E33" s="72"/>
    </row>
    <row r="34" spans="1:5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C39" s="72"/>
      <c r="D39" s="72"/>
      <c r="E39" s="72"/>
    </row>
    <row r="40" spans="1:5" ht="16.5" customHeight="1" x14ac:dyDescent="0.3">
      <c r="A40" s="75" t="s">
        <v>6</v>
      </c>
      <c r="C40" s="72"/>
      <c r="D40" s="72"/>
      <c r="E40" s="72"/>
    </row>
    <row r="41" spans="1:5" ht="16.5" customHeight="1" x14ac:dyDescent="0.3">
      <c r="A41" s="8" t="s">
        <v>8</v>
      </c>
      <c r="C41" s="72"/>
      <c r="D41" s="72"/>
      <c r="E41" s="72"/>
    </row>
    <row r="42" spans="1:5" ht="16.5" customHeight="1" x14ac:dyDescent="0.3">
      <c r="A42" s="8" t="s">
        <v>10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1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6" t="s">
        <v>26</v>
      </c>
      <c r="C59" s="466"/>
      <c r="E59" s="464" t="s">
        <v>27</v>
      </c>
      <c r="F59" s="46"/>
      <c r="G59" s="464" t="s">
        <v>28</v>
      </c>
    </row>
    <row r="60" spans="1:7" ht="15" customHeight="1" x14ac:dyDescent="0.3">
      <c r="A60" s="47" t="s">
        <v>29</v>
      </c>
      <c r="B60" s="49" t="s">
        <v>126</v>
      </c>
      <c r="C60" s="49"/>
      <c r="E60" s="49" t="s">
        <v>128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5" zoomScale="60" zoomScaleNormal="40" zoomScalePageLayoutView="60" workbookViewId="0">
      <selection activeCell="F108" sqref="F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3" t="s">
        <v>45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46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x14ac:dyDescent="0.3">
      <c r="A15" s="281"/>
    </row>
    <row r="16" spans="1:9" ht="19.5" customHeight="1" x14ac:dyDescent="0.3">
      <c r="A16" s="476" t="s">
        <v>31</v>
      </c>
      <c r="B16" s="477"/>
      <c r="C16" s="477"/>
      <c r="D16" s="477"/>
      <c r="E16" s="477"/>
      <c r="F16" s="477"/>
      <c r="G16" s="477"/>
      <c r="H16" s="478"/>
    </row>
    <row r="17" spans="1:14" ht="20.25" customHeight="1" x14ac:dyDescent="0.25">
      <c r="A17" s="479" t="s">
        <v>47</v>
      </c>
      <c r="B17" s="479"/>
      <c r="C17" s="479"/>
      <c r="D17" s="479"/>
      <c r="E17" s="479"/>
      <c r="F17" s="479"/>
      <c r="G17" s="479"/>
      <c r="H17" s="479"/>
    </row>
    <row r="18" spans="1:14" ht="26.25" customHeight="1" x14ac:dyDescent="0.4">
      <c r="A18" s="283" t="s">
        <v>33</v>
      </c>
      <c r="B18" s="475" t="s">
        <v>5</v>
      </c>
      <c r="C18" s="475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480" t="s">
        <v>127</v>
      </c>
      <c r="C20" s="480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480" t="s">
        <v>11</v>
      </c>
      <c r="C21" s="480"/>
      <c r="D21" s="480"/>
      <c r="E21" s="480"/>
      <c r="F21" s="480"/>
      <c r="G21" s="480"/>
      <c r="H21" s="480"/>
      <c r="I21" s="287"/>
    </row>
    <row r="22" spans="1:14" ht="26.25" customHeight="1" x14ac:dyDescent="0.4">
      <c r="A22" s="283" t="s">
        <v>37</v>
      </c>
      <c r="B22" s="288">
        <v>42531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>
        <v>42532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5" t="s">
        <v>127</v>
      </c>
      <c r="C26" s="475"/>
    </row>
    <row r="27" spans="1:14" ht="26.25" customHeight="1" x14ac:dyDescent="0.4">
      <c r="A27" s="292" t="s">
        <v>48</v>
      </c>
      <c r="B27" s="481" t="s">
        <v>130</v>
      </c>
      <c r="C27" s="481"/>
    </row>
    <row r="28" spans="1:14" ht="27" customHeight="1" x14ac:dyDescent="0.4">
      <c r="A28" s="292" t="s">
        <v>6</v>
      </c>
      <c r="B28" s="293">
        <v>98.5</v>
      </c>
    </row>
    <row r="29" spans="1:14" s="14" customFormat="1" ht="27" customHeight="1" x14ac:dyDescent="0.4">
      <c r="A29" s="292" t="s">
        <v>49</v>
      </c>
      <c r="B29" s="294">
        <v>0</v>
      </c>
      <c r="C29" s="482" t="s">
        <v>50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98.5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5" t="s">
        <v>53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5" t="s">
        <v>55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100</v>
      </c>
      <c r="C36" s="282"/>
      <c r="D36" s="488" t="s">
        <v>59</v>
      </c>
      <c r="E36" s="489"/>
      <c r="F36" s="488" t="s">
        <v>60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1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1</v>
      </c>
      <c r="C38" s="314">
        <v>1</v>
      </c>
      <c r="D38" s="315">
        <v>33672014</v>
      </c>
      <c r="E38" s="316">
        <f>IF(ISBLANK(D38),"-",$D$48/$D$45*D38)</f>
        <v>27736134.512618281</v>
      </c>
      <c r="F38" s="315">
        <v>27605097</v>
      </c>
      <c r="G38" s="317">
        <f>IF(ISBLANK(F38),"-",$D$48/$F$45*F38)</f>
        <v>27611309.544647548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33668892</v>
      </c>
      <c r="E39" s="321">
        <f>IF(ISBLANK(D39),"-",$D$48/$D$45*D39)</f>
        <v>27733562.875176329</v>
      </c>
      <c r="F39" s="320">
        <v>27617567</v>
      </c>
      <c r="G39" s="322">
        <f>IF(ISBLANK(F39),"-",$D$48/$F$45*F39)</f>
        <v>27623782.351028983</v>
      </c>
      <c r="I39" s="492">
        <f>ABS((F43/D43*D42)-F42)/D42</f>
        <v>3.3791889042000286E-3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33629878</v>
      </c>
      <c r="E40" s="321">
        <f>IF(ISBLANK(D40),"-",$D$48/$D$45*D40)</f>
        <v>27701426.468014129</v>
      </c>
      <c r="F40" s="320">
        <v>27588547</v>
      </c>
      <c r="G40" s="322">
        <f>IF(ISBLANK(F40),"-",$D$48/$F$45*F40)</f>
        <v>27594755.820059516</v>
      </c>
      <c r="I40" s="492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33656928</v>
      </c>
      <c r="E42" s="331">
        <f>AVERAGE(E38:E41)</f>
        <v>27723707.951936245</v>
      </c>
      <c r="F42" s="330">
        <f>AVERAGE(F38:F41)</f>
        <v>27603737</v>
      </c>
      <c r="G42" s="332">
        <f>AVERAGE(G38:G41)</f>
        <v>27609949.238578681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9.86</v>
      </c>
      <c r="E43" s="323"/>
      <c r="F43" s="335">
        <v>8.1199999999999992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9.86</v>
      </c>
      <c r="E44" s="338"/>
      <c r="F44" s="337">
        <f>F43*$B$34</f>
        <v>8.1199999999999992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9.7120999999999995</v>
      </c>
      <c r="E45" s="341"/>
      <c r="F45" s="340">
        <f>F44*$B$30/100</f>
        <v>7.9981999999999998</v>
      </c>
      <c r="H45" s="333"/>
    </row>
    <row r="46" spans="1:14" ht="19.5" customHeight="1" x14ac:dyDescent="0.3">
      <c r="A46" s="493" t="s">
        <v>78</v>
      </c>
      <c r="B46" s="494"/>
      <c r="C46" s="336" t="s">
        <v>79</v>
      </c>
      <c r="D46" s="342">
        <f>D45/$B$45</f>
        <v>9.7120999999999999E-2</v>
      </c>
      <c r="E46" s="343"/>
      <c r="F46" s="344">
        <f>F45/$B$45</f>
        <v>7.9981999999999998E-2</v>
      </c>
      <c r="H46" s="333"/>
    </row>
    <row r="47" spans="1:14" ht="27" customHeight="1" x14ac:dyDescent="0.4">
      <c r="A47" s="495"/>
      <c r="B47" s="496"/>
      <c r="C47" s="345" t="s">
        <v>80</v>
      </c>
      <c r="D47" s="346">
        <v>0.08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8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8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27666828.595257461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2.3190838712229054E-3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Rifampicin 150mg, Isoniazid 75mg</v>
      </c>
    </row>
    <row r="56" spans="1:12" ht="26.25" customHeight="1" x14ac:dyDescent="0.4">
      <c r="A56" s="360" t="s">
        <v>87</v>
      </c>
      <c r="B56" s="361">
        <v>75</v>
      </c>
      <c r="C56" s="282" t="str">
        <f>B20</f>
        <v>Isoniazid</v>
      </c>
      <c r="H56" s="362"/>
    </row>
    <row r="57" spans="1:12" ht="18.75" x14ac:dyDescent="0.3">
      <c r="A57" s="359" t="s">
        <v>88</v>
      </c>
      <c r="B57" s="451">
        <f>Uniformity!C46</f>
        <v>374.99450000000002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1</v>
      </c>
      <c r="C60" s="497" t="s">
        <v>94</v>
      </c>
      <c r="D60" s="500">
        <v>38.270000000000003</v>
      </c>
      <c r="E60" s="365">
        <v>1</v>
      </c>
      <c r="F60" s="366">
        <v>24325456</v>
      </c>
      <c r="G60" s="452">
        <f>IF(ISBLANK(F60),"-",(F60/$D$50*$D$47*$B$68)*($B$57/$D$60))</f>
        <v>68.922025717380762</v>
      </c>
      <c r="H60" s="367">
        <f t="shared" ref="H60:H71" si="0">IF(ISBLANK(F60),"-",G60/$B$56)</f>
        <v>0.91896034289841022</v>
      </c>
      <c r="L60" s="295"/>
    </row>
    <row r="61" spans="1:12" s="14" customFormat="1" ht="26.25" customHeight="1" x14ac:dyDescent="0.4">
      <c r="A61" s="307" t="s">
        <v>95</v>
      </c>
      <c r="B61" s="308">
        <v>1</v>
      </c>
      <c r="C61" s="498"/>
      <c r="D61" s="501"/>
      <c r="E61" s="368">
        <v>2</v>
      </c>
      <c r="F61" s="320">
        <v>24358281</v>
      </c>
      <c r="G61" s="453">
        <f>IF(ISBLANK(F61),"-",(F61/$D$50*$D$47*$B$68)*($B$57/$D$60))</f>
        <v>69.01502974962473</v>
      </c>
      <c r="H61" s="369">
        <f t="shared" si="0"/>
        <v>0.92020039666166309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8"/>
      <c r="D62" s="501"/>
      <c r="E62" s="368">
        <v>3</v>
      </c>
      <c r="F62" s="370">
        <v>24399391</v>
      </c>
      <c r="G62" s="453">
        <f>IF(ISBLANK(F62),"-",(F62/$D$50*$D$47*$B$68)*($B$57/$D$60))</f>
        <v>69.13150791460717</v>
      </c>
      <c r="H62" s="369">
        <f t="shared" si="0"/>
        <v>0.92175343886142891</v>
      </c>
      <c r="L62" s="295"/>
    </row>
    <row r="63" spans="1:12" ht="27" customHeight="1" x14ac:dyDescent="0.4">
      <c r="A63" s="307" t="s">
        <v>97</v>
      </c>
      <c r="B63" s="308">
        <v>1</v>
      </c>
      <c r="C63" s="499"/>
      <c r="D63" s="502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7" t="s">
        <v>99</v>
      </c>
      <c r="D64" s="500">
        <v>39.21</v>
      </c>
      <c r="E64" s="365">
        <v>1</v>
      </c>
      <c r="F64" s="366">
        <v>25567360</v>
      </c>
      <c r="G64" s="454">
        <f>IF(ISBLANK(F64),"-",(F64/$D$50*$D$47*$B$68)*($B$57/$D$64))</f>
        <v>70.704092071718875</v>
      </c>
      <c r="H64" s="373">
        <f t="shared" si="0"/>
        <v>0.94272122762291832</v>
      </c>
    </row>
    <row r="65" spans="1:8" ht="26.25" customHeight="1" x14ac:dyDescent="0.4">
      <c r="A65" s="307" t="s">
        <v>100</v>
      </c>
      <c r="B65" s="308">
        <v>1</v>
      </c>
      <c r="C65" s="498"/>
      <c r="D65" s="501"/>
      <c r="E65" s="368">
        <v>2</v>
      </c>
      <c r="F65" s="320">
        <v>25746167</v>
      </c>
      <c r="G65" s="455">
        <f>IF(ISBLANK(F65),"-",(F65/$D$50*$D$47*$B$68)*($B$57/$D$64))</f>
        <v>71.198565751874668</v>
      </c>
      <c r="H65" s="374">
        <f t="shared" si="0"/>
        <v>0.94931421002499561</v>
      </c>
    </row>
    <row r="66" spans="1:8" ht="26.25" customHeight="1" x14ac:dyDescent="0.4">
      <c r="A66" s="307" t="s">
        <v>101</v>
      </c>
      <c r="B66" s="308">
        <v>1</v>
      </c>
      <c r="C66" s="498"/>
      <c r="D66" s="501"/>
      <c r="E66" s="368">
        <v>3</v>
      </c>
      <c r="F66" s="320">
        <v>25582425</v>
      </c>
      <c r="G66" s="455">
        <f>IF(ISBLANK(F66),"-",(F66/$D$50*$D$47*$B$68)*($B$57/$D$64))</f>
        <v>70.74575289031965</v>
      </c>
      <c r="H66" s="374">
        <f t="shared" si="0"/>
        <v>0.94327670520426199</v>
      </c>
    </row>
    <row r="67" spans="1:8" ht="27" customHeight="1" x14ac:dyDescent="0.4">
      <c r="A67" s="307" t="s">
        <v>102</v>
      </c>
      <c r="B67" s="308">
        <v>1</v>
      </c>
      <c r="C67" s="499"/>
      <c r="D67" s="502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</v>
      </c>
      <c r="C68" s="497" t="s">
        <v>104</v>
      </c>
      <c r="D68" s="500">
        <v>40.29</v>
      </c>
      <c r="E68" s="365">
        <v>1</v>
      </c>
      <c r="F68" s="366">
        <v>26524611</v>
      </c>
      <c r="G68" s="454">
        <f>IF(ISBLANK(F68),"-",(F68/$D$50*$D$47*$B$68)*($B$57/$D$68))</f>
        <v>71.385048931729543</v>
      </c>
      <c r="H68" s="369">
        <f t="shared" si="0"/>
        <v>0.95180065242306056</v>
      </c>
    </row>
    <row r="69" spans="1:8" ht="27" customHeight="1" x14ac:dyDescent="0.4">
      <c r="A69" s="355" t="s">
        <v>105</v>
      </c>
      <c r="B69" s="377">
        <f>(D47*B68)/B56*B57</f>
        <v>39.999413333333337</v>
      </c>
      <c r="C69" s="498"/>
      <c r="D69" s="501"/>
      <c r="E69" s="368">
        <v>2</v>
      </c>
      <c r="F69" s="320">
        <v>26574083</v>
      </c>
      <c r="G69" s="455">
        <f>IF(ISBLANK(F69),"-",(F69/$D$50*$D$47*$B$68)*($B$57/$D$68))</f>
        <v>71.518191737886099</v>
      </c>
      <c r="H69" s="369">
        <f t="shared" si="0"/>
        <v>0.95357588983848129</v>
      </c>
    </row>
    <row r="70" spans="1:8" ht="26.25" customHeight="1" x14ac:dyDescent="0.4">
      <c r="A70" s="510" t="s">
        <v>78</v>
      </c>
      <c r="B70" s="511"/>
      <c r="C70" s="498"/>
      <c r="D70" s="501"/>
      <c r="E70" s="368">
        <v>3</v>
      </c>
      <c r="F70" s="320">
        <v>26576587</v>
      </c>
      <c r="G70" s="455">
        <f>IF(ISBLANK(F70),"-",(F70/$D$50*$D$47*$B$68)*($B$57/$D$68))</f>
        <v>71.524930692984242</v>
      </c>
      <c r="H70" s="369">
        <f t="shared" si="0"/>
        <v>0.9536657425731232</v>
      </c>
    </row>
    <row r="71" spans="1:8" ht="27" customHeight="1" x14ac:dyDescent="0.4">
      <c r="A71" s="512"/>
      <c r="B71" s="513"/>
      <c r="C71" s="509"/>
      <c r="D71" s="502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70.460571717569536</v>
      </c>
      <c r="H72" s="382">
        <f>AVERAGE(H60:H71)</f>
        <v>0.93947428956759382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1.5878988207034785E-2</v>
      </c>
      <c r="H73" s="457">
        <f>STDEV(H60:H71)/H72</f>
        <v>1.5878988207034768E-2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505" t="str">
        <f>B20</f>
        <v>Isoniazid</v>
      </c>
      <c r="D76" s="505"/>
      <c r="E76" s="388" t="s">
        <v>108</v>
      </c>
      <c r="F76" s="388"/>
      <c r="G76" s="389">
        <f>H72</f>
        <v>0.93947428956759382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91" t="str">
        <f>B26</f>
        <v>Isoniazid</v>
      </c>
      <c r="C79" s="491"/>
    </row>
    <row r="80" spans="1:8" ht="26.25" customHeight="1" x14ac:dyDescent="0.4">
      <c r="A80" s="292" t="s">
        <v>48</v>
      </c>
      <c r="B80" s="491" t="str">
        <f>B27</f>
        <v>I8-2</v>
      </c>
      <c r="C80" s="491"/>
    </row>
    <row r="81" spans="1:12" ht="27" customHeight="1" x14ac:dyDescent="0.4">
      <c r="A81" s="292" t="s">
        <v>6</v>
      </c>
      <c r="B81" s="391">
        <f>B28</f>
        <v>98.5</v>
      </c>
    </row>
    <row r="82" spans="1:12" s="14" customFormat="1" ht="27" customHeight="1" x14ac:dyDescent="0.4">
      <c r="A82" s="292" t="s">
        <v>49</v>
      </c>
      <c r="B82" s="294">
        <v>0</v>
      </c>
      <c r="C82" s="482" t="s">
        <v>50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98.5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485" t="s">
        <v>111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485" t="s">
        <v>112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100</v>
      </c>
      <c r="D89" s="392" t="s">
        <v>59</v>
      </c>
      <c r="E89" s="393"/>
      <c r="F89" s="488" t="s">
        <v>60</v>
      </c>
      <c r="G89" s="490"/>
    </row>
    <row r="90" spans="1:12" ht="27" customHeight="1" x14ac:dyDescent="0.4">
      <c r="A90" s="307" t="s">
        <v>61</v>
      </c>
      <c r="B90" s="308">
        <v>1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1</v>
      </c>
      <c r="C91" s="396">
        <v>1</v>
      </c>
      <c r="D91" s="315">
        <v>33672014</v>
      </c>
      <c r="E91" s="316">
        <f>IF(ISBLANK(D91),"-",$D$101/$D$98*D91)</f>
        <v>28891806.783977374</v>
      </c>
      <c r="F91" s="315">
        <v>27605097</v>
      </c>
      <c r="G91" s="317">
        <f>IF(ISBLANK(F91),"-",$D$101/$F$98*F91)</f>
        <v>28761780.775674522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33668892</v>
      </c>
      <c r="E92" s="321">
        <f>IF(ISBLANK(D92),"-",$D$101/$D$98*D92)</f>
        <v>28889127.99497534</v>
      </c>
      <c r="F92" s="320">
        <v>27617567</v>
      </c>
      <c r="G92" s="322">
        <f>IF(ISBLANK(F92),"-",$D$101/$F$98*F92)</f>
        <v>28774773.282321852</v>
      </c>
      <c r="I92" s="492">
        <f>ABS((F96/D96*D95)-F95)/D95</f>
        <v>3.3791889042000286E-3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33629878</v>
      </c>
      <c r="E93" s="321">
        <f>IF(ISBLANK(D93),"-",$D$101/$D$98*D93)</f>
        <v>28855652.570848048</v>
      </c>
      <c r="F93" s="320">
        <v>27588547</v>
      </c>
      <c r="G93" s="322">
        <f>IF(ISBLANK(F93),"-",$D$101/$F$98*F93)</f>
        <v>28744537.312561989</v>
      </c>
      <c r="I93" s="492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33656928</v>
      </c>
      <c r="E95" s="331">
        <f>AVERAGE(E91:E94)</f>
        <v>28878862.449933589</v>
      </c>
      <c r="F95" s="401">
        <f>AVERAGE(F91:F94)</f>
        <v>27603737</v>
      </c>
      <c r="G95" s="402">
        <f>AVERAGE(G91:G94)</f>
        <v>28760363.790186122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9.86</v>
      </c>
      <c r="E96" s="323"/>
      <c r="F96" s="335">
        <v>8.1199999999999992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9.86</v>
      </c>
      <c r="E97" s="338"/>
      <c r="F97" s="337">
        <f>F96*$B$87</f>
        <v>8.1199999999999992</v>
      </c>
    </row>
    <row r="98" spans="1:10" ht="19.5" customHeight="1" x14ac:dyDescent="0.3">
      <c r="A98" s="307" t="s">
        <v>76</v>
      </c>
      <c r="B98" s="407">
        <f>(B97/B96)*(B95/B94)*(B93/B92)*(B91/B90)*B89</f>
        <v>100</v>
      </c>
      <c r="C98" s="405" t="s">
        <v>115</v>
      </c>
      <c r="D98" s="408">
        <f>D97*$B$83/100</f>
        <v>9.7120999999999995</v>
      </c>
      <c r="E98" s="341"/>
      <c r="F98" s="340">
        <f>F97*$B$83/100</f>
        <v>7.9981999999999998</v>
      </c>
    </row>
    <row r="99" spans="1:10" ht="19.5" customHeight="1" x14ac:dyDescent="0.3">
      <c r="A99" s="493" t="s">
        <v>78</v>
      </c>
      <c r="B99" s="507"/>
      <c r="C99" s="405" t="s">
        <v>116</v>
      </c>
      <c r="D99" s="409">
        <f>D98/$B$98</f>
        <v>9.7120999999999999E-2</v>
      </c>
      <c r="E99" s="341"/>
      <c r="F99" s="344">
        <f>F98/$B$98</f>
        <v>7.9981999999999998E-2</v>
      </c>
      <c r="G99" s="410"/>
      <c r="H99" s="333"/>
    </row>
    <row r="100" spans="1:10" ht="19.5" customHeight="1" x14ac:dyDescent="0.3">
      <c r="A100" s="495"/>
      <c r="B100" s="508"/>
      <c r="C100" s="405" t="s">
        <v>80</v>
      </c>
      <c r="D100" s="411">
        <f>$B$56/$B$116</f>
        <v>8.3333333333333329E-2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8.3333333333333321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8.3333333333333321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28819613.120059852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2.31908387122298E-3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24467959</v>
      </c>
      <c r="E108" s="458">
        <f t="shared" ref="E108:E113" si="1">IF(ISBLANK(D108),"-",D108/$D$103*$D$100*$B$116)</f>
        <v>63.675279656085436</v>
      </c>
      <c r="F108" s="428">
        <f t="shared" ref="F108:F113" si="2">IF(ISBLANK(D108), "-", E108/$B$56)</f>
        <v>0.84900372874780583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25655195</v>
      </c>
      <c r="E109" s="459">
        <f t="shared" si="1"/>
        <v>66.764935982457899</v>
      </c>
      <c r="F109" s="429">
        <f t="shared" si="2"/>
        <v>0.89019914643277198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25549653</v>
      </c>
      <c r="E110" s="459">
        <f t="shared" si="1"/>
        <v>66.490274071938003</v>
      </c>
      <c r="F110" s="429">
        <f t="shared" si="2"/>
        <v>0.8865369876258401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26568954</v>
      </c>
      <c r="E111" s="459">
        <f t="shared" si="1"/>
        <v>69.142897293544991</v>
      </c>
      <c r="F111" s="429">
        <f t="shared" si="2"/>
        <v>0.92190529724726655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26586300</v>
      </c>
      <c r="E112" s="459">
        <f t="shared" si="1"/>
        <v>69.188038426931485</v>
      </c>
      <c r="F112" s="429">
        <f t="shared" si="2"/>
        <v>0.92250717902575308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24519794</v>
      </c>
      <c r="E113" s="460">
        <f t="shared" si="1"/>
        <v>63.810174770180282</v>
      </c>
      <c r="F113" s="432">
        <f t="shared" si="2"/>
        <v>0.85080233026907048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66.511933366856354</v>
      </c>
      <c r="F115" s="435">
        <f>AVERAGE(F108:F113)</f>
        <v>0.88682577822475139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3.6515978803655418E-2</v>
      </c>
      <c r="F116" s="437">
        <f>STDEV(F108:F113)/F115</f>
        <v>3.651597880365539E-2</v>
      </c>
      <c r="I116" s="281"/>
    </row>
    <row r="117" spans="1:10" ht="27" customHeight="1" x14ac:dyDescent="0.4">
      <c r="A117" s="493" t="s">
        <v>78</v>
      </c>
      <c r="B117" s="494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95"/>
      <c r="B118" s="496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505" t="str">
        <f>B20</f>
        <v>Isoniazid</v>
      </c>
      <c r="D120" s="505"/>
      <c r="E120" s="388" t="s">
        <v>124</v>
      </c>
      <c r="F120" s="388"/>
      <c r="G120" s="389">
        <f>F115</f>
        <v>0.88682577822475139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506" t="s">
        <v>26</v>
      </c>
      <c r="C122" s="506"/>
      <c r="E122" s="394" t="s">
        <v>27</v>
      </c>
      <c r="F122" s="443"/>
      <c r="G122" s="506" t="s">
        <v>28</v>
      </c>
      <c r="H122" s="506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2016-06-13T07:15:47Z</cp:lastPrinted>
  <dcterms:created xsi:type="dcterms:W3CDTF">2005-07-05T10:19:27Z</dcterms:created>
  <dcterms:modified xsi:type="dcterms:W3CDTF">2016-06-20T08:42:10Z</dcterms:modified>
</cp:coreProperties>
</file>