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5" l="1"/>
  <c r="B20" i="5"/>
  <c r="B21" i="1"/>
  <c r="B20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D97" i="4"/>
  <c r="D98" i="4" s="1"/>
  <c r="E94" i="4" s="1"/>
  <c r="I92" i="4"/>
  <c r="I39" i="4"/>
  <c r="D49" i="4"/>
  <c r="F44" i="4"/>
  <c r="F45" i="4" s="1"/>
  <c r="D45" i="4"/>
  <c r="D46" i="4" s="1"/>
  <c r="I92" i="3"/>
  <c r="D101" i="3"/>
  <c r="D102" i="3" s="1"/>
  <c r="D97" i="3"/>
  <c r="D98" i="3" s="1"/>
  <c r="D49" i="3"/>
  <c r="F44" i="3"/>
  <c r="F45" i="3" s="1"/>
  <c r="G40" i="3" s="1"/>
  <c r="D45" i="3"/>
  <c r="E39" i="3" s="1"/>
  <c r="I39" i="3"/>
  <c r="E38" i="3"/>
  <c r="G41" i="3"/>
  <c r="F98" i="3"/>
  <c r="F98" i="4"/>
  <c r="G93" i="4" s="1"/>
  <c r="D29" i="2"/>
  <c r="D37" i="2"/>
  <c r="D41" i="2"/>
  <c r="D27" i="2"/>
  <c r="D31" i="2"/>
  <c r="D35" i="2"/>
  <c r="D39" i="2"/>
  <c r="D43" i="2"/>
  <c r="C49" i="2"/>
  <c r="C50" i="2"/>
  <c r="D24" i="2"/>
  <c r="D28" i="2"/>
  <c r="D32" i="2"/>
  <c r="D36" i="2"/>
  <c r="D40" i="2"/>
  <c r="D49" i="2"/>
  <c r="E41" i="3"/>
  <c r="B57" i="3"/>
  <c r="B69" i="3" s="1"/>
  <c r="G94" i="3"/>
  <c r="B57" i="4"/>
  <c r="B69" i="4" s="1"/>
  <c r="D33" i="2"/>
  <c r="D26" i="2"/>
  <c r="D30" i="2"/>
  <c r="D34" i="2"/>
  <c r="D38" i="2"/>
  <c r="D42" i="2"/>
  <c r="B49" i="2"/>
  <c r="E40" i="3"/>
  <c r="G92" i="4" l="1"/>
  <c r="E92" i="4"/>
  <c r="E40" i="4"/>
  <c r="E38" i="4"/>
  <c r="F46" i="4"/>
  <c r="G41" i="4"/>
  <c r="G40" i="4"/>
  <c r="G39" i="4"/>
  <c r="G38" i="4"/>
  <c r="E39" i="4"/>
  <c r="E41" i="4"/>
  <c r="G93" i="3"/>
  <c r="E91" i="3"/>
  <c r="E94" i="3"/>
  <c r="E92" i="3"/>
  <c r="G92" i="3"/>
  <c r="D46" i="3"/>
  <c r="F46" i="3"/>
  <c r="G39" i="3"/>
  <c r="G38" i="3"/>
  <c r="G42" i="3" s="1"/>
  <c r="G94" i="4"/>
  <c r="E91" i="4"/>
  <c r="G91" i="4"/>
  <c r="F99" i="4"/>
  <c r="D99" i="4"/>
  <c r="E93" i="4"/>
  <c r="G91" i="3"/>
  <c r="F99" i="3"/>
  <c r="E42" i="3"/>
  <c r="D52" i="3"/>
  <c r="D99" i="3"/>
  <c r="E93" i="3"/>
  <c r="G42" i="4" l="1"/>
  <c r="E42" i="4"/>
  <c r="D52" i="4"/>
  <c r="D50" i="4"/>
  <c r="G68" i="4" s="1"/>
  <c r="H68" i="4" s="1"/>
  <c r="G95" i="4"/>
  <c r="G95" i="3"/>
  <c r="E95" i="3"/>
  <c r="D105" i="3"/>
  <c r="D50" i="3"/>
  <c r="G68" i="3" s="1"/>
  <c r="H68" i="3" s="1"/>
  <c r="D103" i="3"/>
  <c r="E112" i="3" s="1"/>
  <c r="F112" i="3" s="1"/>
  <c r="E95" i="4"/>
  <c r="D105" i="4"/>
  <c r="D103" i="4"/>
  <c r="G65" i="4" l="1"/>
  <c r="H65" i="4" s="1"/>
  <c r="G67" i="4"/>
  <c r="H67" i="4" s="1"/>
  <c r="D51" i="4"/>
  <c r="G69" i="4"/>
  <c r="H69" i="4" s="1"/>
  <c r="G66" i="4"/>
  <c r="H66" i="4" s="1"/>
  <c r="G64" i="4"/>
  <c r="H64" i="4" s="1"/>
  <c r="G70" i="4"/>
  <c r="H70" i="4" s="1"/>
  <c r="G71" i="4"/>
  <c r="H71" i="4" s="1"/>
  <c r="G61" i="4"/>
  <c r="H61" i="4" s="1"/>
  <c r="G62" i="4"/>
  <c r="H62" i="4" s="1"/>
  <c r="G63" i="4"/>
  <c r="H63" i="4" s="1"/>
  <c r="G60" i="4"/>
  <c r="E113" i="3"/>
  <c r="F113" i="3" s="1"/>
  <c r="G61" i="3"/>
  <c r="H61" i="3" s="1"/>
  <c r="G63" i="3"/>
  <c r="H63" i="3" s="1"/>
  <c r="G60" i="3"/>
  <c r="H60" i="3" s="1"/>
  <c r="G62" i="3"/>
  <c r="H62" i="3" s="1"/>
  <c r="G65" i="3"/>
  <c r="H65" i="3" s="1"/>
  <c r="G64" i="3"/>
  <c r="H64" i="3" s="1"/>
  <c r="G66" i="3"/>
  <c r="H66" i="3" s="1"/>
  <c r="G67" i="3"/>
  <c r="H67" i="3" s="1"/>
  <c r="G69" i="3"/>
  <c r="H69" i="3" s="1"/>
  <c r="G71" i="3"/>
  <c r="H71" i="3" s="1"/>
  <c r="G70" i="3"/>
  <c r="H70" i="3" s="1"/>
  <c r="D51" i="3"/>
  <c r="D104" i="3"/>
  <c r="E109" i="3"/>
  <c r="F109" i="3" s="1"/>
  <c r="E110" i="3"/>
  <c r="F110" i="3" s="1"/>
  <c r="E108" i="3"/>
  <c r="F108" i="3" s="1"/>
  <c r="E111" i="3"/>
  <c r="F111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H60" i="4"/>
  <c r="H72" i="4" s="1"/>
  <c r="E115" i="3"/>
  <c r="E116" i="3" s="1"/>
  <c r="G74" i="3"/>
  <c r="G72" i="3"/>
  <c r="G73" i="3" s="1"/>
  <c r="E117" i="3"/>
  <c r="E115" i="4"/>
  <c r="E116" i="4" s="1"/>
  <c r="E117" i="4"/>
  <c r="F108" i="4"/>
  <c r="H74" i="3"/>
  <c r="H72" i="3"/>
  <c r="F117" i="3"/>
  <c r="F115" i="3"/>
  <c r="H74" i="4"/>
  <c r="G120" i="3" l="1"/>
  <c r="F116" i="3"/>
  <c r="F117" i="4"/>
  <c r="F115" i="4"/>
  <c r="G76" i="4"/>
  <c r="H73" i="4"/>
  <c r="G76" i="3"/>
  <c r="H73" i="3"/>
  <c r="G120" i="4" l="1"/>
  <c r="F116" i="4"/>
</calcChain>
</file>

<file path=xl/sharedStrings.xml><?xml version="1.0" encoding="utf-8"?>
<sst xmlns="http://schemas.openxmlformats.org/spreadsheetml/2006/main" count="440" uniqueCount="131">
  <si>
    <t>HPLC System Suitability Report</t>
  </si>
  <si>
    <t>Analysis Data</t>
  </si>
  <si>
    <t>Assay</t>
  </si>
  <si>
    <t>Sample(s)</t>
  </si>
  <si>
    <t>Reference Substance:</t>
  </si>
  <si>
    <t>Rifampicin and Isoniazid Tablets</t>
  </si>
  <si>
    <t>% age Purity:</t>
  </si>
  <si>
    <t>NDQD201511529</t>
  </si>
  <si>
    <t>Weight (mg):</t>
  </si>
  <si>
    <t>Rifampicin, Isoniazid</t>
  </si>
  <si>
    <t>Standard Conc (mg/mL):</t>
  </si>
  <si>
    <t>Rifampicin 150mg, Isoniazid 75mg</t>
  </si>
  <si>
    <t>2015-11-06 10:48:51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</si>
  <si>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</si>
  <si>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</si>
  <si>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</si>
  <si>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</si>
  <si>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</si>
  <si>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</si>
  <si>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</si>
  <si>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</si>
  <si>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</si>
  <si>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</si>
  <si>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</si>
  <si>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</si>
  <si>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</si>
  <si>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</si>
  <si>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</si>
  <si>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</si>
  <si>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</si>
  <si>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</si>
  <si>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</si>
  <si>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</si>
  <si>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</si>
  <si>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</si>
  <si>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</si>
  <si>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</si>
  <si>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</si>
  <si>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</si>
  <si>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</si>
  <si>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</si>
  <si>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</si>
  <si>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</si>
  <si>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</si>
  <si>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</si>
  <si>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</si>
  <si>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</si>
  <si>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</si>
  <si>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</si>
  <si>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</si>
  <si>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</si>
  <si>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</si>
  <si>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</si>
  <si>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</si>
  <si>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</si>
  <si>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</si>
  <si>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</si>
  <si>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</si>
  <si>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</si>
  <si>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</si>
  <si>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</si>
  <si>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</si>
  <si>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</si>
  <si>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</si>
  <si>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</si>
  <si>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</si>
  <si>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</si>
  <si>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</si>
  <si>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</si>
  <si>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</si>
  <si>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</si>
  <si>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</si>
  <si>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</si>
  <si>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</si>
  <si>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</si>
  <si>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</si>
  <si>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</si>
  <si>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</si>
  <si>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</si>
  <si>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</si>
  <si>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</si>
  <si>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</si>
  <si>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</si>
  <si>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</si>
  <si>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</si>
  <si>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</si>
  <si>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</si>
  <si>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</si>
  <si>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</si>
  <si>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</si>
  <si>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</si>
  <si>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</si>
  <si>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</si>
  <si>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</si>
  <si>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</si>
  <si>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</si>
  <si>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</si>
  <si>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</si>
  <si>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</si>
  <si>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</si>
  <si>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</si>
  <si>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</si>
  <si>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</si>
  <si>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</si>
  <si>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</si>
  <si>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</si>
  <si>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</si>
  <si>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</si>
  <si>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</si>
  <si>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</si>
  <si>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</si>
  <si>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</si>
  <si>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</si>
  <si>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</si>
  <si>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</si>
  <si>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</si>
  <si>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</si>
  <si>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</si>
  <si>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</si>
  <si>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</si>
  <si>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</si>
  <si>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</si>
  <si>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</si>
  <si>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</si>
  <si>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</si>
  <si>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</si>
  <si>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RUTTO/JOYFRIDA</t>
  </si>
  <si>
    <t>Isoniazid</t>
  </si>
  <si>
    <t>13/06/2016</t>
  </si>
  <si>
    <t>R5-1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</si>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</sst>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17" sqref="B17: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f>Rifampicin!D43</f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17.76/100</f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18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19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376.25</v>
      </c>
      <c r="D24" s="87">
        <f t="shared" ref="D24:D43" si="0">(C24-$C$46)/$C$46</f>
        <v>3.3480491047201588E-3</v>
      </c>
      <c r="E24" s="53"/>
    </row>
    <row r="25" spans="1:5" ht="15.75" customHeight="1" x14ac:dyDescent="0.3">
      <c r="C25" s="95">
        <v>369.05</v>
      </c>
      <c r="D25" s="88">
        <f t="shared" si="0"/>
        <v>-1.5852232499410004E-2</v>
      </c>
      <c r="E25" s="53"/>
    </row>
    <row r="26" spans="1:5" ht="15.75" customHeight="1" x14ac:dyDescent="0.3">
      <c r="C26" s="95">
        <v>375.86</v>
      </c>
      <c r="D26" s="88">
        <f t="shared" si="0"/>
        <v>2.3080338511631431E-3</v>
      </c>
      <c r="E26" s="53"/>
    </row>
    <row r="27" spans="1:5" ht="15.75" customHeight="1" x14ac:dyDescent="0.3">
      <c r="C27" s="95">
        <v>378.56</v>
      </c>
      <c r="D27" s="88">
        <f t="shared" si="0"/>
        <v>9.5081394527119344E-3</v>
      </c>
      <c r="E27" s="53"/>
    </row>
    <row r="28" spans="1:5" ht="15.75" customHeight="1" x14ac:dyDescent="0.3">
      <c r="C28" s="95">
        <v>379.98</v>
      </c>
      <c r="D28" s="88">
        <f t="shared" si="0"/>
        <v>1.3294861657970988E-2</v>
      </c>
      <c r="E28" s="53"/>
    </row>
    <row r="29" spans="1:5" ht="15.75" customHeight="1" x14ac:dyDescent="0.3">
      <c r="C29" s="95">
        <v>377.02</v>
      </c>
      <c r="D29" s="88">
        <f t="shared" si="0"/>
        <v>5.4014125540507007E-3</v>
      </c>
      <c r="E29" s="53"/>
    </row>
    <row r="30" spans="1:5" ht="15.75" customHeight="1" x14ac:dyDescent="0.3">
      <c r="C30" s="95">
        <v>375.88</v>
      </c>
      <c r="D30" s="88">
        <f t="shared" si="0"/>
        <v>2.3613679667301227E-3</v>
      </c>
      <c r="E30" s="53"/>
    </row>
    <row r="31" spans="1:5" ht="15.75" customHeight="1" x14ac:dyDescent="0.3">
      <c r="C31" s="95">
        <v>373.65</v>
      </c>
      <c r="D31" s="88">
        <f t="shared" si="0"/>
        <v>-3.5853859189935826E-3</v>
      </c>
      <c r="E31" s="53"/>
    </row>
    <row r="32" spans="1:5" ht="15.75" customHeight="1" x14ac:dyDescent="0.3">
      <c r="C32" s="95">
        <v>376.87</v>
      </c>
      <c r="D32" s="88">
        <f t="shared" si="0"/>
        <v>5.0014066872980482E-3</v>
      </c>
      <c r="E32" s="53"/>
    </row>
    <row r="33" spans="1:7" ht="15.75" customHeight="1" x14ac:dyDescent="0.3">
      <c r="C33" s="95">
        <v>374.16</v>
      </c>
      <c r="D33" s="88">
        <f t="shared" si="0"/>
        <v>-2.2253659720342335E-3</v>
      </c>
      <c r="E33" s="53"/>
    </row>
    <row r="34" spans="1:7" ht="15.75" customHeight="1" x14ac:dyDescent="0.3">
      <c r="C34" s="95">
        <v>376.89</v>
      </c>
      <c r="D34" s="88">
        <f t="shared" si="0"/>
        <v>5.0547408028650282E-3</v>
      </c>
      <c r="E34" s="53"/>
    </row>
    <row r="35" spans="1:7" ht="15.75" customHeight="1" x14ac:dyDescent="0.3">
      <c r="C35" s="95">
        <v>374.74</v>
      </c>
      <c r="D35" s="88">
        <f t="shared" si="0"/>
        <v>-6.786766205904547E-4</v>
      </c>
      <c r="E35" s="53"/>
    </row>
    <row r="36" spans="1:7" ht="15.75" customHeight="1" x14ac:dyDescent="0.3">
      <c r="C36" s="95">
        <v>372.63</v>
      </c>
      <c r="D36" s="88">
        <f t="shared" si="0"/>
        <v>-6.3054258129119781E-3</v>
      </c>
      <c r="E36" s="53"/>
    </row>
    <row r="37" spans="1:7" ht="15.75" customHeight="1" x14ac:dyDescent="0.3">
      <c r="C37" s="95">
        <v>373.33</v>
      </c>
      <c r="D37" s="88">
        <f t="shared" si="0"/>
        <v>-4.4387317680660175E-3</v>
      </c>
      <c r="E37" s="53"/>
    </row>
    <row r="38" spans="1:7" ht="15.75" customHeight="1" x14ac:dyDescent="0.3">
      <c r="C38" s="95">
        <v>372.2</v>
      </c>
      <c r="D38" s="88">
        <f t="shared" si="0"/>
        <v>-7.4521092976031055E-3</v>
      </c>
      <c r="E38" s="53"/>
    </row>
    <row r="39" spans="1:7" ht="15.75" customHeight="1" x14ac:dyDescent="0.3">
      <c r="C39" s="95">
        <v>374.66</v>
      </c>
      <c r="D39" s="88">
        <f t="shared" si="0"/>
        <v>-8.9201308285852547E-4</v>
      </c>
      <c r="E39" s="53"/>
    </row>
    <row r="40" spans="1:7" ht="15.75" customHeight="1" x14ac:dyDescent="0.3">
      <c r="C40" s="95">
        <v>374.43</v>
      </c>
      <c r="D40" s="88">
        <f t="shared" si="0"/>
        <v>-1.5053554118793996E-3</v>
      </c>
      <c r="E40" s="53"/>
    </row>
    <row r="41" spans="1:7" ht="15.75" customHeight="1" x14ac:dyDescent="0.3">
      <c r="C41" s="95">
        <v>378.25</v>
      </c>
      <c r="D41" s="88">
        <f t="shared" si="0"/>
        <v>8.6814606614229895E-3</v>
      </c>
      <c r="E41" s="53"/>
    </row>
    <row r="42" spans="1:7" ht="15.75" customHeight="1" x14ac:dyDescent="0.3">
      <c r="C42" s="95">
        <v>372.8</v>
      </c>
      <c r="D42" s="88">
        <f t="shared" si="0"/>
        <v>-5.8520858305921948E-3</v>
      </c>
      <c r="E42" s="53"/>
    </row>
    <row r="43" spans="1:7" ht="16.5" customHeight="1" x14ac:dyDescent="0.3">
      <c r="C43" s="96">
        <v>372.68</v>
      </c>
      <c r="D43" s="89">
        <f t="shared" si="0"/>
        <v>-6.1720905239943773E-3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7499.89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374.99450000000002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374.99450000000002</v>
      </c>
      <c r="C49" s="93">
        <f>-IF(C46&lt;=80,10%,IF(C46&lt;250,7.5%,5%))</f>
        <v>-0.05</v>
      </c>
      <c r="D49" s="81">
        <f>IF(C46&lt;=80,C46*0.9,IF(C46&lt;250,C46*0.925,C46*0.95))</f>
        <v>356.244775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393.74422500000003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8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100" t="s">
        <v>33</v>
      </c>
      <c r="B18" s="475" t="s">
        <v>5</v>
      </c>
      <c r="C18" s="475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0" t="s">
        <v>125</v>
      </c>
      <c r="C20" s="48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104"/>
    </row>
    <row r="22" spans="1:14" ht="26.25" customHeight="1" x14ac:dyDescent="0.4">
      <c r="A22" s="100" t="s">
        <v>37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5" t="s">
        <v>125</v>
      </c>
      <c r="C26" s="475"/>
    </row>
    <row r="27" spans="1:14" ht="26.25" customHeight="1" x14ac:dyDescent="0.4">
      <c r="A27" s="109" t="s">
        <v>48</v>
      </c>
      <c r="B27" s="481" t="s">
        <v>129</v>
      </c>
      <c r="C27" s="481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88" t="s">
        <v>59</v>
      </c>
      <c r="E36" s="489"/>
      <c r="F36" s="488" t="s">
        <v>60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2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93" t="s">
        <v>78</v>
      </c>
      <c r="B46" s="494"/>
      <c r="C46" s="153" t="s">
        <v>79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95"/>
      <c r="B47" s="496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Rifampicin 150mg, Isoniazid 75mg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8">
        <f>Uniformity!C46</f>
        <v>374.99450000000002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7" t="s">
        <v>94</v>
      </c>
      <c r="D60" s="500">
        <v>38.270000000000003</v>
      </c>
      <c r="E60" s="182">
        <v>1</v>
      </c>
      <c r="F60" s="183">
        <v>45905285</v>
      </c>
      <c r="G60" s="269">
        <f>IF(ISBLANK(F60),"-",(F60/$D$50*$D$47*$B$68)*($B$57/$D$60))</f>
        <v>143.61093993347777</v>
      </c>
      <c r="H60" s="184">
        <f t="shared" ref="H60:H71" si="0">IF(ISBLANK(F60),"-",G60/$B$56)</f>
        <v>0.95740626622318514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8"/>
      <c r="D61" s="501"/>
      <c r="E61" s="185">
        <v>2</v>
      </c>
      <c r="F61" s="137">
        <v>45873617</v>
      </c>
      <c r="G61" s="270">
        <f>IF(ISBLANK(F61),"-",(F61/$D$50*$D$47*$B$68)*($B$57/$D$60))</f>
        <v>143.51186917842605</v>
      </c>
      <c r="H61" s="186">
        <f t="shared" si="0"/>
        <v>0.95674579452284036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8"/>
      <c r="D62" s="501"/>
      <c r="E62" s="185">
        <v>3</v>
      </c>
      <c r="F62" s="187">
        <v>45917997</v>
      </c>
      <c r="G62" s="270">
        <f>IF(ISBLANK(F62),"-",(F62/$D$50*$D$47*$B$68)*($B$57/$D$60))</f>
        <v>143.6507083886444</v>
      </c>
      <c r="H62" s="186">
        <f t="shared" si="0"/>
        <v>0.9576713892576294</v>
      </c>
      <c r="L62" s="112"/>
    </row>
    <row r="63" spans="1:12" ht="27" customHeight="1" x14ac:dyDescent="0.4">
      <c r="A63" s="124" t="s">
        <v>97</v>
      </c>
      <c r="B63" s="125">
        <v>1</v>
      </c>
      <c r="C63" s="499"/>
      <c r="D63" s="50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7" t="s">
        <v>99</v>
      </c>
      <c r="D64" s="500">
        <v>39.21</v>
      </c>
      <c r="E64" s="182">
        <v>1</v>
      </c>
      <c r="F64" s="183">
        <v>46507595</v>
      </c>
      <c r="G64" s="271">
        <f>IF(ISBLANK(F64),"-",(F64/$D$50*$D$47*$B$68)*($B$57/$D$64))</f>
        <v>142.00719151138489</v>
      </c>
      <c r="H64" s="190">
        <f t="shared" si="0"/>
        <v>0.9467146100758993</v>
      </c>
    </row>
    <row r="65" spans="1:8" ht="26.25" customHeight="1" x14ac:dyDescent="0.4">
      <c r="A65" s="124" t="s">
        <v>100</v>
      </c>
      <c r="B65" s="125">
        <v>1</v>
      </c>
      <c r="C65" s="498"/>
      <c r="D65" s="501"/>
      <c r="E65" s="185">
        <v>2</v>
      </c>
      <c r="F65" s="137">
        <v>46400881</v>
      </c>
      <c r="G65" s="272">
        <f>IF(ISBLANK(F65),"-",(F65/$D$50*$D$47*$B$68)*($B$57/$D$64))</f>
        <v>141.68134891653676</v>
      </c>
      <c r="H65" s="191">
        <f t="shared" si="0"/>
        <v>0.94454232611024513</v>
      </c>
    </row>
    <row r="66" spans="1:8" ht="26.25" customHeight="1" x14ac:dyDescent="0.4">
      <c r="A66" s="124" t="s">
        <v>101</v>
      </c>
      <c r="B66" s="125">
        <v>1</v>
      </c>
      <c r="C66" s="498"/>
      <c r="D66" s="501"/>
      <c r="E66" s="185">
        <v>3</v>
      </c>
      <c r="F66" s="137">
        <v>46414261</v>
      </c>
      <c r="G66" s="272">
        <f>IF(ISBLANK(F66),"-",(F66/$D$50*$D$47*$B$68)*($B$57/$D$64))</f>
        <v>141.72220366773217</v>
      </c>
      <c r="H66" s="191">
        <f t="shared" si="0"/>
        <v>0.94481469111821448</v>
      </c>
    </row>
    <row r="67" spans="1:8" ht="27" customHeight="1" x14ac:dyDescent="0.4">
      <c r="A67" s="124" t="s">
        <v>102</v>
      </c>
      <c r="B67" s="125">
        <v>1</v>
      </c>
      <c r="C67" s="499"/>
      <c r="D67" s="50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7" t="s">
        <v>104</v>
      </c>
      <c r="D68" s="500">
        <v>40.29</v>
      </c>
      <c r="E68" s="182">
        <v>1</v>
      </c>
      <c r="F68" s="183">
        <v>49165957</v>
      </c>
      <c r="G68" s="271">
        <f>IF(ISBLANK(F68),"-",(F68/$D$50*$D$47*$B$68)*($B$57/$D$68))</f>
        <v>146.10010513793117</v>
      </c>
      <c r="H68" s="186">
        <f t="shared" si="0"/>
        <v>0.97400070091954116</v>
      </c>
    </row>
    <row r="69" spans="1:8" ht="27" customHeight="1" x14ac:dyDescent="0.4">
      <c r="A69" s="172" t="s">
        <v>105</v>
      </c>
      <c r="B69" s="194">
        <f>(D47*B68)/B56*B57</f>
        <v>39.999413333333337</v>
      </c>
      <c r="C69" s="498"/>
      <c r="D69" s="501"/>
      <c r="E69" s="185">
        <v>2</v>
      </c>
      <c r="F69" s="137">
        <v>49117190</v>
      </c>
      <c r="G69" s="272">
        <f>IF(ISBLANK(F69),"-",(F69/$D$50*$D$47*$B$68)*($B$57/$D$68))</f>
        <v>145.95519056162661</v>
      </c>
      <c r="H69" s="186">
        <f t="shared" si="0"/>
        <v>0.97303460374417738</v>
      </c>
    </row>
    <row r="70" spans="1:8" ht="26.25" customHeight="1" x14ac:dyDescent="0.4">
      <c r="A70" s="510" t="s">
        <v>78</v>
      </c>
      <c r="B70" s="511"/>
      <c r="C70" s="498"/>
      <c r="D70" s="501"/>
      <c r="E70" s="185">
        <v>3</v>
      </c>
      <c r="F70" s="137">
        <v>49139530</v>
      </c>
      <c r="G70" s="272">
        <f>IF(ISBLANK(F70),"-",(F70/$D$50*$D$47*$B$68)*($B$57/$D$68))</f>
        <v>146.02157544555723</v>
      </c>
      <c r="H70" s="186">
        <f t="shared" si="0"/>
        <v>0.97347716963704822</v>
      </c>
    </row>
    <row r="71" spans="1:8" ht="27" customHeight="1" x14ac:dyDescent="0.4">
      <c r="A71" s="512"/>
      <c r="B71" s="513"/>
      <c r="C71" s="509"/>
      <c r="D71" s="50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143.80679252681298</v>
      </c>
      <c r="H72" s="199">
        <f>AVERAGE(H60:H71)</f>
        <v>0.95871195017875321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1.2782336379945556E-2</v>
      </c>
      <c r="H73" s="274">
        <f>STDEV(H60:H71)/H72</f>
        <v>1.2782336379945554E-2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5" t="str">
        <f>B20</f>
        <v>Rifampicin</v>
      </c>
      <c r="D76" s="505"/>
      <c r="E76" s="205" t="s">
        <v>108</v>
      </c>
      <c r="F76" s="205"/>
      <c r="G76" s="206">
        <f>H72</f>
        <v>0.95871195017875321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1" t="str">
        <f>B26</f>
        <v>Rifampicin</v>
      </c>
      <c r="C79" s="491"/>
    </row>
    <row r="80" spans="1:8" ht="26.25" customHeight="1" x14ac:dyDescent="0.4">
      <c r="A80" s="109" t="s">
        <v>48</v>
      </c>
      <c r="B80" s="491" t="str">
        <f>B27</f>
        <v>R5-1</v>
      </c>
      <c r="C80" s="491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488" t="s">
        <v>60</v>
      </c>
      <c r="G89" s="490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2">
        <f>ABS((F96/D96*D95)-F95)/D95</f>
        <v>7.87171238077106E-3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2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93" t="s">
        <v>78</v>
      </c>
      <c r="B99" s="507"/>
      <c r="C99" s="222" t="s">
        <v>116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95"/>
      <c r="B100" s="508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45919151</v>
      </c>
      <c r="E108" s="275">
        <f t="shared" ref="E108:E113" si="1">IF(ISBLANK(D108),"-",D108/$D$103*$D$100*$B$116)</f>
        <v>131.94555373404651</v>
      </c>
      <c r="F108" s="245">
        <f t="shared" ref="F108:F113" si="2">IF(ISBLANK(D108), "-", E108/$B$56)</f>
        <v>0.87963702489364337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46424838</v>
      </c>
      <c r="E109" s="276">
        <f t="shared" si="1"/>
        <v>133.39861089599421</v>
      </c>
      <c r="F109" s="246">
        <f t="shared" si="2"/>
        <v>0.88932407263996138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46238328</v>
      </c>
      <c r="E110" s="276">
        <f t="shared" si="1"/>
        <v>132.8626871105798</v>
      </c>
      <c r="F110" s="246">
        <f t="shared" si="2"/>
        <v>0.88575124740386535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49100442</v>
      </c>
      <c r="E111" s="276">
        <f t="shared" si="1"/>
        <v>141.08677680640119</v>
      </c>
      <c r="F111" s="246">
        <f t="shared" si="2"/>
        <v>0.94057851204267462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48962386</v>
      </c>
      <c r="E112" s="276">
        <f t="shared" si="1"/>
        <v>140.69008229072278</v>
      </c>
      <c r="F112" s="246">
        <f t="shared" si="2"/>
        <v>0.93793388193815186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45653449</v>
      </c>
      <c r="E113" s="277">
        <f t="shared" si="1"/>
        <v>131.18207712886615</v>
      </c>
      <c r="F113" s="249">
        <f t="shared" si="2"/>
        <v>0.87454718085910765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135.19429799443512</v>
      </c>
      <c r="F115" s="252">
        <f>AVERAGE(F108:F113)</f>
        <v>0.9012953199629008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3.3118682709362197E-2</v>
      </c>
      <c r="F116" s="254">
        <f>STDEV(F108:F113)/F115</f>
        <v>3.3118682709362211E-2</v>
      </c>
      <c r="I116" s="98"/>
    </row>
    <row r="117" spans="1:10" ht="27" customHeight="1" x14ac:dyDescent="0.4">
      <c r="A117" s="493" t="s">
        <v>78</v>
      </c>
      <c r="B117" s="4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5"/>
      <c r="B118" s="4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5" t="str">
        <f>B20</f>
        <v>Rifampicin</v>
      </c>
      <c r="D120" s="505"/>
      <c r="E120" s="205" t="s">
        <v>124</v>
      </c>
      <c r="F120" s="205"/>
      <c r="G120" s="206">
        <f>F115</f>
        <v>0.9012953199629008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6" t="s">
        <v>26</v>
      </c>
      <c r="C122" s="506"/>
      <c r="E122" s="211" t="s">
        <v>27</v>
      </c>
      <c r="F122" s="260"/>
      <c r="G122" s="506" t="s">
        <v>28</v>
      </c>
      <c r="H122" s="506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24" sqref="B24:E29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f>Isoniazid!D43</f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f>9.86/100</f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18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19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C39" s="72"/>
      <c r="D39" s="72"/>
      <c r="E39" s="72"/>
    </row>
    <row r="40" spans="1:5" ht="16.5" customHeight="1" x14ac:dyDescent="0.3">
      <c r="A40" s="75" t="s">
        <v>6</v>
      </c>
      <c r="C40" s="72"/>
      <c r="D40" s="72"/>
      <c r="E40" s="72"/>
    </row>
    <row r="41" spans="1:5" ht="16.5" customHeight="1" x14ac:dyDescent="0.3">
      <c r="A41" s="8" t="s">
        <v>8</v>
      </c>
      <c r="C41" s="72"/>
      <c r="D41" s="72"/>
      <c r="E41" s="72"/>
    </row>
    <row r="42" spans="1:5" ht="16.5" customHeight="1" x14ac:dyDescent="0.3">
      <c r="A42" s="8" t="s">
        <v>10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26</v>
      </c>
      <c r="C59" s="466"/>
      <c r="E59" s="464" t="s">
        <v>27</v>
      </c>
      <c r="F59" s="46"/>
      <c r="G59" s="464" t="s">
        <v>28</v>
      </c>
    </row>
    <row r="60" spans="1:7" ht="15" customHeight="1" x14ac:dyDescent="0.3">
      <c r="A60" s="47" t="s">
        <v>29</v>
      </c>
      <c r="B60" s="49" t="s">
        <v>126</v>
      </c>
      <c r="C60" s="49"/>
      <c r="E60" s="49" t="s">
        <v>128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3" zoomScale="50" zoomScaleNormal="40" zoomScalePageLayoutView="50" workbookViewId="0">
      <selection activeCell="D117" sqref="D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1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3" t="s">
        <v>33</v>
      </c>
      <c r="B18" s="475" t="s">
        <v>5</v>
      </c>
      <c r="C18" s="475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80" t="s">
        <v>127</v>
      </c>
      <c r="C20" s="480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87"/>
    </row>
    <row r="22" spans="1:14" ht="26.25" customHeight="1" x14ac:dyDescent="0.4">
      <c r="A22" s="283" t="s">
        <v>37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5" t="s">
        <v>127</v>
      </c>
      <c r="C26" s="475"/>
    </row>
    <row r="27" spans="1:14" ht="26.25" customHeight="1" x14ac:dyDescent="0.4">
      <c r="A27" s="292" t="s">
        <v>48</v>
      </c>
      <c r="B27" s="481" t="s">
        <v>130</v>
      </c>
      <c r="C27" s="481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49</v>
      </c>
      <c r="B29" s="294">
        <v>0</v>
      </c>
      <c r="C29" s="482" t="s">
        <v>50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5" t="s">
        <v>53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5" t="s">
        <v>55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100</v>
      </c>
      <c r="C36" s="282"/>
      <c r="D36" s="488" t="s">
        <v>59</v>
      </c>
      <c r="E36" s="489"/>
      <c r="F36" s="488" t="s">
        <v>60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1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2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2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93" t="s">
        <v>78</v>
      </c>
      <c r="B46" s="494"/>
      <c r="C46" s="336" t="s">
        <v>79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95"/>
      <c r="B47" s="496"/>
      <c r="C47" s="345" t="s">
        <v>80</v>
      </c>
      <c r="D47" s="346">
        <v>0.08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8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Rifampicin 150mg, Isoniazid 75mg</v>
      </c>
    </row>
    <row r="56" spans="1:12" ht="26.25" customHeight="1" x14ac:dyDescent="0.4">
      <c r="A56" s="360" t="s">
        <v>87</v>
      </c>
      <c r="B56" s="361">
        <v>75</v>
      </c>
      <c r="C56" s="282" t="str">
        <f>B20</f>
        <v>Isoniazid</v>
      </c>
      <c r="H56" s="362"/>
    </row>
    <row r="57" spans="1:12" ht="18.75" x14ac:dyDescent="0.3">
      <c r="A57" s="359" t="s">
        <v>88</v>
      </c>
      <c r="B57" s="451">
        <f>Uniformity!C46</f>
        <v>374.99450000000002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7" t="s">
        <v>94</v>
      </c>
      <c r="D60" s="500">
        <v>38.270000000000003</v>
      </c>
      <c r="E60" s="365">
        <v>1</v>
      </c>
      <c r="F60" s="366">
        <v>24325456</v>
      </c>
      <c r="G60" s="452">
        <f>IF(ISBLANK(F60),"-",(F60/$D$50*$D$47*$B$68)*($B$57/$D$60))</f>
        <v>68.922025717380762</v>
      </c>
      <c r="H60" s="367">
        <f t="shared" ref="H60:H71" si="0">IF(ISBLANK(F60),"-",G60/$B$56)</f>
        <v>0.91896034289841022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8"/>
      <c r="D61" s="501"/>
      <c r="E61" s="368">
        <v>2</v>
      </c>
      <c r="F61" s="320">
        <v>24358281</v>
      </c>
      <c r="G61" s="453">
        <f>IF(ISBLANK(F61),"-",(F61/$D$50*$D$47*$B$68)*($B$57/$D$60))</f>
        <v>69.01502974962473</v>
      </c>
      <c r="H61" s="369">
        <f t="shared" si="0"/>
        <v>0.92020039666166309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8"/>
      <c r="D62" s="501"/>
      <c r="E62" s="368">
        <v>3</v>
      </c>
      <c r="F62" s="370">
        <v>24399391</v>
      </c>
      <c r="G62" s="453">
        <f>IF(ISBLANK(F62),"-",(F62/$D$50*$D$47*$B$68)*($B$57/$D$60))</f>
        <v>69.13150791460717</v>
      </c>
      <c r="H62" s="369">
        <f t="shared" si="0"/>
        <v>0.92175343886142891</v>
      </c>
      <c r="L62" s="295"/>
    </row>
    <row r="63" spans="1:12" ht="27" customHeight="1" x14ac:dyDescent="0.4">
      <c r="A63" s="307" t="s">
        <v>97</v>
      </c>
      <c r="B63" s="308">
        <v>1</v>
      </c>
      <c r="C63" s="499"/>
      <c r="D63" s="50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7" t="s">
        <v>99</v>
      </c>
      <c r="D64" s="500">
        <v>39.21</v>
      </c>
      <c r="E64" s="365">
        <v>1</v>
      </c>
      <c r="F64" s="366">
        <v>25567360</v>
      </c>
      <c r="G64" s="454">
        <f>IF(ISBLANK(F64),"-",(F64/$D$50*$D$47*$B$68)*($B$57/$D$64))</f>
        <v>70.704092071718875</v>
      </c>
      <c r="H64" s="373">
        <f t="shared" si="0"/>
        <v>0.94272122762291832</v>
      </c>
    </row>
    <row r="65" spans="1:8" ht="26.25" customHeight="1" x14ac:dyDescent="0.4">
      <c r="A65" s="307" t="s">
        <v>100</v>
      </c>
      <c r="B65" s="308">
        <v>1</v>
      </c>
      <c r="C65" s="498"/>
      <c r="D65" s="501"/>
      <c r="E65" s="368">
        <v>2</v>
      </c>
      <c r="F65" s="320">
        <v>25746167</v>
      </c>
      <c r="G65" s="455">
        <f>IF(ISBLANK(F65),"-",(F65/$D$50*$D$47*$B$68)*($B$57/$D$64))</f>
        <v>71.198565751874668</v>
      </c>
      <c r="H65" s="374">
        <f t="shared" si="0"/>
        <v>0.94931421002499561</v>
      </c>
    </row>
    <row r="66" spans="1:8" ht="26.25" customHeight="1" x14ac:dyDescent="0.4">
      <c r="A66" s="307" t="s">
        <v>101</v>
      </c>
      <c r="B66" s="308">
        <v>1</v>
      </c>
      <c r="C66" s="498"/>
      <c r="D66" s="501"/>
      <c r="E66" s="368">
        <v>3</v>
      </c>
      <c r="F66" s="320">
        <v>25582425</v>
      </c>
      <c r="G66" s="455">
        <f>IF(ISBLANK(F66),"-",(F66/$D$50*$D$47*$B$68)*($B$57/$D$64))</f>
        <v>70.74575289031965</v>
      </c>
      <c r="H66" s="374">
        <f t="shared" si="0"/>
        <v>0.94327670520426199</v>
      </c>
    </row>
    <row r="67" spans="1:8" ht="27" customHeight="1" x14ac:dyDescent="0.4">
      <c r="A67" s="307" t="s">
        <v>102</v>
      </c>
      <c r="B67" s="308">
        <v>1</v>
      </c>
      <c r="C67" s="499"/>
      <c r="D67" s="50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7" t="s">
        <v>104</v>
      </c>
      <c r="D68" s="500">
        <v>40.29</v>
      </c>
      <c r="E68" s="365">
        <v>1</v>
      </c>
      <c r="F68" s="366">
        <v>26524611</v>
      </c>
      <c r="G68" s="454">
        <f>IF(ISBLANK(F68),"-",(F68/$D$50*$D$47*$B$68)*($B$57/$D$68))</f>
        <v>71.385048931729543</v>
      </c>
      <c r="H68" s="369">
        <f t="shared" si="0"/>
        <v>0.95180065242306056</v>
      </c>
    </row>
    <row r="69" spans="1:8" ht="27" customHeight="1" x14ac:dyDescent="0.4">
      <c r="A69" s="355" t="s">
        <v>105</v>
      </c>
      <c r="B69" s="377">
        <f>(D47*B68)/B56*B57</f>
        <v>39.999413333333337</v>
      </c>
      <c r="C69" s="498"/>
      <c r="D69" s="501"/>
      <c r="E69" s="368">
        <v>2</v>
      </c>
      <c r="F69" s="320">
        <v>26574083</v>
      </c>
      <c r="G69" s="455">
        <f>IF(ISBLANK(F69),"-",(F69/$D$50*$D$47*$B$68)*($B$57/$D$68))</f>
        <v>71.518191737886099</v>
      </c>
      <c r="H69" s="369">
        <f t="shared" si="0"/>
        <v>0.95357588983848129</v>
      </c>
    </row>
    <row r="70" spans="1:8" ht="26.25" customHeight="1" x14ac:dyDescent="0.4">
      <c r="A70" s="510" t="s">
        <v>78</v>
      </c>
      <c r="B70" s="511"/>
      <c r="C70" s="498"/>
      <c r="D70" s="501"/>
      <c r="E70" s="368">
        <v>3</v>
      </c>
      <c r="F70" s="320">
        <v>26576587</v>
      </c>
      <c r="G70" s="455">
        <f>IF(ISBLANK(F70),"-",(F70/$D$50*$D$47*$B$68)*($B$57/$D$68))</f>
        <v>71.524930692984242</v>
      </c>
      <c r="H70" s="369">
        <f t="shared" si="0"/>
        <v>0.9536657425731232</v>
      </c>
    </row>
    <row r="71" spans="1:8" ht="27" customHeight="1" x14ac:dyDescent="0.4">
      <c r="A71" s="512"/>
      <c r="B71" s="513"/>
      <c r="C71" s="509"/>
      <c r="D71" s="50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70.460571717569536</v>
      </c>
      <c r="H72" s="382">
        <f>AVERAGE(H60:H71)</f>
        <v>0.93947428956759382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1.5878988207034785E-2</v>
      </c>
      <c r="H73" s="457">
        <f>STDEV(H60:H71)/H72</f>
        <v>1.5878988207034768E-2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5" t="str">
        <f>B20</f>
        <v>Isoniazid</v>
      </c>
      <c r="D76" s="505"/>
      <c r="E76" s="388" t="s">
        <v>108</v>
      </c>
      <c r="F76" s="388"/>
      <c r="G76" s="389">
        <f>H72</f>
        <v>0.93947428956759382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1" t="str">
        <f>B26</f>
        <v>Isoniazid</v>
      </c>
      <c r="C79" s="491"/>
    </row>
    <row r="80" spans="1:8" ht="26.25" customHeight="1" x14ac:dyDescent="0.4">
      <c r="A80" s="292" t="s">
        <v>48</v>
      </c>
      <c r="B80" s="491" t="str">
        <f>B27</f>
        <v>I8-2</v>
      </c>
      <c r="C80" s="491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49</v>
      </c>
      <c r="B82" s="294">
        <v>0</v>
      </c>
      <c r="C82" s="482" t="s">
        <v>50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5" t="s">
        <v>111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5" t="s">
        <v>112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100</v>
      </c>
      <c r="D89" s="392" t="s">
        <v>59</v>
      </c>
      <c r="E89" s="393"/>
      <c r="F89" s="488" t="s">
        <v>60</v>
      </c>
      <c r="G89" s="490"/>
    </row>
    <row r="90" spans="1:12" ht="27" customHeight="1" x14ac:dyDescent="0.4">
      <c r="A90" s="307" t="s">
        <v>61</v>
      </c>
      <c r="B90" s="308">
        <v>1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2">
        <f>ABS((F96/D96*D95)-F95)/D95</f>
        <v>3.3791889042000286E-3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2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93" t="s">
        <v>78</v>
      </c>
      <c r="B99" s="507"/>
      <c r="C99" s="405" t="s">
        <v>116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95"/>
      <c r="B100" s="508"/>
      <c r="C100" s="405" t="s">
        <v>80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24467959</v>
      </c>
      <c r="E108" s="458">
        <f t="shared" ref="E108:E113" si="1">IF(ISBLANK(D108),"-",D108/$D$103*$D$100*$B$116)</f>
        <v>63.675279656085436</v>
      </c>
      <c r="F108" s="428">
        <f t="shared" ref="F108:F113" si="2">IF(ISBLANK(D108), "-", E108/$B$56)</f>
        <v>0.84900372874780583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25655195</v>
      </c>
      <c r="E109" s="459">
        <f t="shared" si="1"/>
        <v>66.764935982457899</v>
      </c>
      <c r="F109" s="429">
        <f t="shared" si="2"/>
        <v>0.89019914643277198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25549653</v>
      </c>
      <c r="E110" s="459">
        <f t="shared" si="1"/>
        <v>66.490274071938003</v>
      </c>
      <c r="F110" s="429">
        <f t="shared" si="2"/>
        <v>0.8865369876258401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26568954</v>
      </c>
      <c r="E111" s="459">
        <f t="shared" si="1"/>
        <v>69.142897293544991</v>
      </c>
      <c r="F111" s="429">
        <f t="shared" si="2"/>
        <v>0.92190529724726655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26586300</v>
      </c>
      <c r="E112" s="459">
        <f t="shared" si="1"/>
        <v>69.188038426931485</v>
      </c>
      <c r="F112" s="429">
        <f t="shared" si="2"/>
        <v>0.92250717902575308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24519794</v>
      </c>
      <c r="E113" s="460">
        <f t="shared" si="1"/>
        <v>63.810174770180282</v>
      </c>
      <c r="F113" s="432">
        <f t="shared" si="2"/>
        <v>0.85080233026907048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66.511933366856354</v>
      </c>
      <c r="F115" s="435">
        <f>AVERAGE(F108:F113)</f>
        <v>0.88682577822475139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3.6515978803655418E-2</v>
      </c>
      <c r="F116" s="437">
        <f>STDEV(F108:F113)/F115</f>
        <v>3.651597880365539E-2</v>
      </c>
      <c r="I116" s="281"/>
    </row>
    <row r="117" spans="1:10" ht="27" customHeight="1" x14ac:dyDescent="0.4">
      <c r="A117" s="493" t="s">
        <v>78</v>
      </c>
      <c r="B117" s="494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5"/>
      <c r="B118" s="496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5" t="str">
        <f>B20</f>
        <v>Isoniazid</v>
      </c>
      <c r="D120" s="505"/>
      <c r="E120" s="388" t="s">
        <v>124</v>
      </c>
      <c r="F120" s="388"/>
      <c r="G120" s="389">
        <f>F115</f>
        <v>0.88682577822475139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6" t="s">
        <v>26</v>
      </c>
      <c r="C122" s="506"/>
      <c r="E122" s="394" t="s">
        <v>27</v>
      </c>
      <c r="F122" s="443"/>
      <c r="G122" s="506" t="s">
        <v>28</v>
      </c>
      <c r="H122" s="506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2016-06-13T07:15:47Z</cp:lastPrinted>
  <dcterms:created xsi:type="dcterms:W3CDTF">2005-07-05T10:19:27Z</dcterms:created>
  <dcterms:modified xsi:type="dcterms:W3CDTF">2016-06-15T06:49:41Z</dcterms:modified>
</cp:coreProperties>
</file>