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10" windowWidth="15015" windowHeight="7110" activeTab="3"/>
  </bookViews>
  <sheets>
    <sheet name="SST RIFA" sheetId="6" r:id="rId1"/>
    <sheet name="SST ISONIAZID " sheetId="5" r:id="rId2"/>
    <sheet name="Uniformity" sheetId="2" r:id="rId3"/>
    <sheet name="RIFAMPICIN" sheetId="3" r:id="rId4"/>
    <sheet name="ISONIAZID" sheetId="4" r:id="rId5"/>
  </sheets>
  <definedNames>
    <definedName name="_xlnm.Print_Area" localSheetId="4">ISONIAZID!$A$1:$N$124</definedName>
    <definedName name="_xlnm.Print_Area" localSheetId="3">RIFAMPICIN!$A$1:$N$124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18" i="5" l="1"/>
  <c r="B39" i="6"/>
  <c r="B18" i="6"/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0" i="4" l="1"/>
  <c r="B116" i="4"/>
  <c r="D100" i="4"/>
  <c r="B98" i="4"/>
  <c r="D97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50" i="2"/>
  <c r="B49" i="2"/>
  <c r="C46" i="2"/>
  <c r="C50" i="2" s="1"/>
  <c r="C45" i="2"/>
  <c r="D42" i="2"/>
  <c r="D41" i="2"/>
  <c r="D38" i="2"/>
  <c r="D37" i="2"/>
  <c r="D34" i="2"/>
  <c r="D33" i="2"/>
  <c r="D30" i="2"/>
  <c r="D29" i="2"/>
  <c r="D26" i="2"/>
  <c r="D25" i="2"/>
  <c r="C19" i="2"/>
  <c r="I92" i="3" l="1"/>
  <c r="D101" i="4"/>
  <c r="F44" i="4"/>
  <c r="F45" i="4" s="1"/>
  <c r="D102" i="4"/>
  <c r="D49" i="4"/>
  <c r="D45" i="4"/>
  <c r="D46" i="4" s="1"/>
  <c r="F98" i="4"/>
  <c r="G94" i="4" s="1"/>
  <c r="D98" i="4"/>
  <c r="E93" i="4" s="1"/>
  <c r="I39" i="4"/>
  <c r="D97" i="3"/>
  <c r="D98" i="3" s="1"/>
  <c r="D101" i="3"/>
  <c r="I39" i="3"/>
  <c r="D44" i="3"/>
  <c r="D45" i="3" s="1"/>
  <c r="D49" i="3"/>
  <c r="D102" i="3"/>
  <c r="F45" i="3"/>
  <c r="G38" i="3" s="1"/>
  <c r="G41" i="3"/>
  <c r="F98" i="3"/>
  <c r="G93" i="3" s="1"/>
  <c r="G91" i="3"/>
  <c r="E40" i="4"/>
  <c r="E41" i="4"/>
  <c r="G94" i="3"/>
  <c r="D27" i="2"/>
  <c r="D31" i="2"/>
  <c r="D35" i="2"/>
  <c r="D39" i="2"/>
  <c r="D43" i="2"/>
  <c r="C49" i="2"/>
  <c r="G40" i="3"/>
  <c r="G92" i="3"/>
  <c r="D24" i="2"/>
  <c r="D28" i="2"/>
  <c r="D32" i="2"/>
  <c r="D36" i="2"/>
  <c r="D40" i="2"/>
  <c r="D49" i="2"/>
  <c r="G39" i="3"/>
  <c r="B57" i="3"/>
  <c r="B69" i="3" s="1"/>
  <c r="B57" i="4"/>
  <c r="B69" i="4" s="1"/>
  <c r="D46" i="3" l="1"/>
  <c r="E38" i="3"/>
  <c r="E40" i="3"/>
  <c r="D99" i="4"/>
  <c r="G91" i="4"/>
  <c r="G41" i="4"/>
  <c r="G39" i="4"/>
  <c r="F46" i="4"/>
  <c r="E39" i="4"/>
  <c r="E38" i="4"/>
  <c r="G40" i="4"/>
  <c r="G38" i="4"/>
  <c r="D52" i="4" s="1"/>
  <c r="E91" i="4"/>
  <c r="E94" i="4"/>
  <c r="E92" i="4"/>
  <c r="G92" i="4"/>
  <c r="G93" i="4"/>
  <c r="F99" i="4"/>
  <c r="D99" i="3"/>
  <c r="E93" i="3"/>
  <c r="F99" i="3"/>
  <c r="F46" i="3"/>
  <c r="E39" i="3"/>
  <c r="E41" i="3"/>
  <c r="E91" i="3"/>
  <c r="G42" i="3"/>
  <c r="E92" i="3"/>
  <c r="G95" i="3"/>
  <c r="E94" i="3"/>
  <c r="E42" i="4"/>
  <c r="D50" i="3" l="1"/>
  <c r="G66" i="3" s="1"/>
  <c r="H66" i="3" s="1"/>
  <c r="G95" i="4"/>
  <c r="D105" i="4"/>
  <c r="D103" i="4"/>
  <c r="E113" i="4" s="1"/>
  <c r="F113" i="4" s="1"/>
  <c r="D50" i="4"/>
  <c r="G66" i="4" s="1"/>
  <c r="H66" i="4" s="1"/>
  <c r="G42" i="4"/>
  <c r="E95" i="4"/>
  <c r="E95" i="3"/>
  <c r="D105" i="3"/>
  <c r="E42" i="3"/>
  <c r="D52" i="3"/>
  <c r="D103" i="3"/>
  <c r="D104" i="3" s="1"/>
  <c r="G71" i="3"/>
  <c r="H71" i="3" s="1"/>
  <c r="G69" i="3"/>
  <c r="H69" i="3" s="1"/>
  <c r="G62" i="3"/>
  <c r="H62" i="3" s="1"/>
  <c r="G67" i="3"/>
  <c r="H67" i="3" s="1"/>
  <c r="G65" i="3"/>
  <c r="H65" i="3" s="1"/>
  <c r="G63" i="3"/>
  <c r="H63" i="3" s="1"/>
  <c r="G69" i="4"/>
  <c r="H69" i="4" s="1"/>
  <c r="G60" i="4"/>
  <c r="G65" i="4"/>
  <c r="H65" i="4" s="1"/>
  <c r="G68" i="3" l="1"/>
  <c r="H68" i="3" s="1"/>
  <c r="D51" i="3"/>
  <c r="G60" i="3"/>
  <c r="H60" i="3" s="1"/>
  <c r="G61" i="3"/>
  <c r="H61" i="3" s="1"/>
  <c r="G70" i="3"/>
  <c r="H70" i="3" s="1"/>
  <c r="G64" i="3"/>
  <c r="H64" i="3" s="1"/>
  <c r="D104" i="4"/>
  <c r="E109" i="4"/>
  <c r="F109" i="4" s="1"/>
  <c r="E108" i="4"/>
  <c r="F108" i="4" s="1"/>
  <c r="E112" i="4"/>
  <c r="F112" i="4" s="1"/>
  <c r="E111" i="4"/>
  <c r="F111" i="4" s="1"/>
  <c r="E110" i="4"/>
  <c r="F110" i="4" s="1"/>
  <c r="G68" i="4"/>
  <c r="H68" i="4" s="1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G63" i="4"/>
  <c r="H63" i="4" s="1"/>
  <c r="D51" i="4"/>
  <c r="E113" i="3"/>
  <c r="F113" i="3" s="1"/>
  <c r="E108" i="3"/>
  <c r="F108" i="3" s="1"/>
  <c r="E112" i="3"/>
  <c r="F112" i="3" s="1"/>
  <c r="E109" i="3"/>
  <c r="F109" i="3" s="1"/>
  <c r="E110" i="3"/>
  <c r="F110" i="3" s="1"/>
  <c r="E111" i="3"/>
  <c r="F111" i="3" s="1"/>
  <c r="H60" i="4"/>
  <c r="G74" i="3" l="1"/>
  <c r="G72" i="3"/>
  <c r="G73" i="3" s="1"/>
  <c r="E117" i="4"/>
  <c r="E115" i="4"/>
  <c r="E116" i="4" s="1"/>
  <c r="G72" i="4"/>
  <c r="G73" i="4" s="1"/>
  <c r="G74" i="4"/>
  <c r="E117" i="3"/>
  <c r="E115" i="3"/>
  <c r="E116" i="3" s="1"/>
  <c r="F117" i="3"/>
  <c r="F115" i="3"/>
  <c r="F117" i="4"/>
  <c r="F115" i="4"/>
  <c r="H74" i="3"/>
  <c r="H72" i="3"/>
  <c r="H74" i="4"/>
  <c r="H72" i="4"/>
  <c r="G76" i="3" l="1"/>
  <c r="H73" i="3"/>
  <c r="G76" i="4"/>
  <c r="H73" i="4"/>
  <c r="G120" i="4"/>
  <c r="F116" i="4"/>
  <c r="G120" i="3"/>
  <c r="F116" i="3"/>
</calcChain>
</file>

<file path=xl/sharedStrings.xml><?xml version="1.0" encoding="utf-8"?>
<sst xmlns="http://schemas.openxmlformats.org/spreadsheetml/2006/main" count="443" uniqueCount="133">
  <si>
    <t>HPLC System Suitability Report</t>
  </si>
  <si>
    <t>Analysis Data</t>
  </si>
  <si>
    <t>Assay</t>
  </si>
  <si>
    <t>Sample(s)</t>
  </si>
  <si>
    <t>Reference Substance:</t>
  </si>
  <si>
    <t>Rifampicin 150mg, Isoniazid 75mg Tablets</t>
  </si>
  <si>
    <t>% age Purity:</t>
  </si>
  <si>
    <t>NDQD201511535</t>
  </si>
  <si>
    <t>Weight (mg):</t>
  </si>
  <si>
    <t>Rifampicin, Isoniazid</t>
  </si>
  <si>
    <t>Standard Conc (mg/mL):</t>
  </si>
  <si>
    <t>Each Tablet contains: Rifampicin 150mg, Isoniazid 75mg</t>
  </si>
  <si>
    <t>2015-11-06 11:11:19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</si>
  <si>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</si>
  <si>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</si>
  <si>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</si>
  <si>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</si>
  <si>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</si>
  <si>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</si>
  <si>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</si>
  <si>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</si>
  <si>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</si>
  <si>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</si>
  <si>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</si>
  <si>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</si>
  <si>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</si>
  <si>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</si>
  <si>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</si>
  <si>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</si>
  <si>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</si>
  <si>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</si>
  <si>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</si>
  <si>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</si>
  <si>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</si>
  <si>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</si>
  <si>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</si>
  <si>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</si>
  <si>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</si>
  <si>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</si>
  <si>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</si>
  <si>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</si>
  <si>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</si>
  <si>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</si>
  <si>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</si>
  <si>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</si>
  <si>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</si>
  <si>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</si>
  <si>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</si>
  <si>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</si>
  <si>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</si>
  <si>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</si>
  <si>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</si>
  <si>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</si>
  <si>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</si>
  <si>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</si>
  <si>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</si>
  <si>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</si>
  <si>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</si>
  <si>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</si>
  <si>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</si>
  <si>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</si>
  <si>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</si>
  <si>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</si>
  <si>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</si>
  <si>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</si>
  <si>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</si>
  <si>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</si>
  <si>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</si>
  <si>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</si>
  <si>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</si>
  <si>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</si>
  <si>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</si>
  <si>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</si>
  <si>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</si>
  <si>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</si>
  <si>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</si>
  <si>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</si>
  <si>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</si>
  <si>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</si>
  <si>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</si>
  <si>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</si>
  <si>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</si>
  <si>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</si>
  <si>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</si>
  <si>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</si>
  <si>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</si>
  <si>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</si>
  <si>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</si>
  <si>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</si>
  <si>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</si>
  <si>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</si>
  <si>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</si>
  <si>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</si>
  <si>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</si>
  <si>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</si>
  <si>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</si>
  <si>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</si>
  <si>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</si>
  <si>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</si>
  <si>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</si>
  <si>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</si>
  <si>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</si>
  <si>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</si>
  <si>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</si>
  <si>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</si>
  <si>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</si>
  <si>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</si>
  <si>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</si>
  <si>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</si>
  <si>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</si>
  <si>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</si>
  <si>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</si>
  <si>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</si>
  <si>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</si>
  <si>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</si>
  <si>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</si>
  <si>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</si>
  <si>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</si>
  <si>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</si>
  <si>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</si>
  <si>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</si>
  <si>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</si>
  <si>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</si>
  <si>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</si>
  <si>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</si>
  <si>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2016-24-05 11:08:44</t>
  </si>
  <si>
    <t>SARAH/MUTUA</t>
  </si>
  <si>
    <t>25/05/2016</t>
  </si>
  <si>
    <t>25/5/2016</t>
  </si>
  <si>
    <t>RIFAMPICIN</t>
  </si>
  <si>
    <t>R4-1</t>
  </si>
  <si>
    <t>ISONIAZID</t>
  </si>
  <si>
    <t>I8-1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</si>
</sst>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55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26" fillId="2" borderId="0" xfId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7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0" fontId="25" fillId="2" borderId="0" xfId="2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26" fillId="2" borderId="0" xfId="2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7" fillId="2" borderId="7" xfId="2" applyFont="1" applyFill="1" applyBorder="1"/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5" fillId="2" borderId="0" xfId="2" applyNumberFormat="1" applyFont="1" applyFill="1" applyAlignment="1">
      <alignment horizontal="left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10" zoomScale="60" zoomScaleNormal="71" workbookViewId="0">
      <selection activeCell="B40" sqref="B40"/>
    </sheetView>
  </sheetViews>
  <sheetFormatPr defaultRowHeight="13.5" x14ac:dyDescent="0.25"/>
  <cols>
    <col min="1" max="1" width="27.5703125" style="460" customWidth="1"/>
    <col min="2" max="2" width="20.42578125" style="460" customWidth="1"/>
    <col min="3" max="3" width="31.85546875" style="460" customWidth="1"/>
    <col min="4" max="4" width="25.85546875" style="460" customWidth="1"/>
    <col min="5" max="5" width="25.7109375" style="460" customWidth="1"/>
    <col min="6" max="6" width="23.140625" style="460" customWidth="1"/>
    <col min="7" max="7" width="28.42578125" style="460" customWidth="1"/>
    <col min="8" max="8" width="21.5703125" style="460" customWidth="1"/>
    <col min="9" max="9" width="9.140625" style="460" customWidth="1"/>
    <col min="10" max="16384" width="9.140625" style="498"/>
  </cols>
  <sheetData>
    <row r="14" spans="1:6" ht="15" customHeight="1" x14ac:dyDescent="0.3">
      <c r="A14" s="459"/>
      <c r="C14" s="461"/>
      <c r="F14" s="461"/>
    </row>
    <row r="15" spans="1:6" ht="18.75" customHeight="1" x14ac:dyDescent="0.3">
      <c r="A15" s="506" t="s">
        <v>0</v>
      </c>
      <c r="B15" s="506"/>
      <c r="C15" s="506"/>
      <c r="D15" s="506"/>
      <c r="E15" s="506"/>
    </row>
    <row r="16" spans="1:6" ht="16.5" customHeight="1" x14ac:dyDescent="0.3">
      <c r="A16" s="462" t="s">
        <v>1</v>
      </c>
      <c r="B16" s="463" t="s">
        <v>2</v>
      </c>
    </row>
    <row r="17" spans="1:5" ht="16.5" customHeight="1" x14ac:dyDescent="0.3">
      <c r="A17" s="464" t="s">
        <v>3</v>
      </c>
      <c r="B17" s="464" t="s">
        <v>5</v>
      </c>
      <c r="D17" s="465"/>
      <c r="E17" s="466"/>
    </row>
    <row r="18" spans="1:5" ht="16.5" customHeight="1" x14ac:dyDescent="0.3">
      <c r="A18" s="467" t="s">
        <v>4</v>
      </c>
      <c r="B18" s="468" t="str">
        <f>RIFAMPICIN!B26</f>
        <v>RIFAMPICIN</v>
      </c>
      <c r="C18" s="466"/>
      <c r="D18" s="466"/>
      <c r="E18" s="466"/>
    </row>
    <row r="19" spans="1:5" ht="16.5" customHeight="1" x14ac:dyDescent="0.3">
      <c r="A19" s="467" t="s">
        <v>6</v>
      </c>
      <c r="B19" s="469">
        <v>98.5</v>
      </c>
      <c r="C19" s="466"/>
      <c r="D19" s="466"/>
      <c r="E19" s="466"/>
    </row>
    <row r="20" spans="1:5" ht="16.5" customHeight="1" x14ac:dyDescent="0.3">
      <c r="A20" s="464" t="s">
        <v>8</v>
      </c>
      <c r="B20" s="468">
        <v>15.69</v>
      </c>
      <c r="C20" s="466"/>
      <c r="D20" s="466"/>
      <c r="E20" s="466"/>
    </row>
    <row r="21" spans="1:5" ht="16.5" customHeight="1" x14ac:dyDescent="0.3">
      <c r="A21" s="464" t="s">
        <v>10</v>
      </c>
      <c r="B21" s="470">
        <f>B20/100</f>
        <v>0.15689999999999998</v>
      </c>
      <c r="C21" s="466"/>
      <c r="D21" s="466"/>
      <c r="E21" s="466"/>
    </row>
    <row r="22" spans="1:5" ht="15.75" customHeight="1" x14ac:dyDescent="0.25">
      <c r="A22" s="466"/>
      <c r="B22" s="471" t="s">
        <v>125</v>
      </c>
      <c r="C22" s="466"/>
      <c r="D22" s="466"/>
      <c r="E22" s="466"/>
    </row>
    <row r="23" spans="1:5" ht="16.5" customHeight="1" x14ac:dyDescent="0.3">
      <c r="A23" s="472" t="s">
        <v>13</v>
      </c>
      <c r="B23" s="473" t="s">
        <v>14</v>
      </c>
      <c r="C23" s="472" t="s">
        <v>15</v>
      </c>
      <c r="D23" s="472" t="s">
        <v>16</v>
      </c>
      <c r="E23" s="472" t="s">
        <v>17</v>
      </c>
    </row>
    <row r="24" spans="1:5" ht="16.5" customHeight="1" x14ac:dyDescent="0.3">
      <c r="A24" s="474">
        <v>1</v>
      </c>
      <c r="B24" s="475">
        <v>83818896</v>
      </c>
      <c r="C24" s="475">
        <v>88715.6</v>
      </c>
      <c r="D24" s="476">
        <v>1.1000000000000001</v>
      </c>
      <c r="E24" s="477">
        <v>9.5</v>
      </c>
    </row>
    <row r="25" spans="1:5" ht="16.5" customHeight="1" x14ac:dyDescent="0.3">
      <c r="A25" s="474">
        <v>2</v>
      </c>
      <c r="B25" s="475">
        <v>83842035</v>
      </c>
      <c r="C25" s="475">
        <v>89045.8</v>
      </c>
      <c r="D25" s="476">
        <v>1.1000000000000001</v>
      </c>
      <c r="E25" s="476">
        <v>9.5</v>
      </c>
    </row>
    <row r="26" spans="1:5" ht="16.5" customHeight="1" x14ac:dyDescent="0.3">
      <c r="A26" s="474">
        <v>3</v>
      </c>
      <c r="B26" s="475">
        <v>83874109</v>
      </c>
      <c r="C26" s="475">
        <v>88851.4</v>
      </c>
      <c r="D26" s="476">
        <v>1.1000000000000001</v>
      </c>
      <c r="E26" s="476">
        <v>9.5</v>
      </c>
    </row>
    <row r="27" spans="1:5" ht="16.5" customHeight="1" x14ac:dyDescent="0.3">
      <c r="A27" s="474">
        <v>4</v>
      </c>
      <c r="B27" s="475">
        <v>83904016</v>
      </c>
      <c r="C27" s="475">
        <v>89210.8</v>
      </c>
      <c r="D27" s="476">
        <v>1.1000000000000001</v>
      </c>
      <c r="E27" s="476">
        <v>9.5</v>
      </c>
    </row>
    <row r="28" spans="1:5" ht="16.5" customHeight="1" x14ac:dyDescent="0.3">
      <c r="A28" s="474">
        <v>5</v>
      </c>
      <c r="B28" s="475">
        <v>83270997</v>
      </c>
      <c r="C28" s="475">
        <v>89041.5</v>
      </c>
      <c r="D28" s="476">
        <v>1.1000000000000001</v>
      </c>
      <c r="E28" s="476">
        <v>9.5</v>
      </c>
    </row>
    <row r="29" spans="1:5" ht="16.5" customHeight="1" x14ac:dyDescent="0.3">
      <c r="A29" s="474">
        <v>6</v>
      </c>
      <c r="B29" s="478">
        <v>83832097</v>
      </c>
      <c r="C29" s="478">
        <v>88969</v>
      </c>
      <c r="D29" s="479">
        <v>1.1000000000000001</v>
      </c>
      <c r="E29" s="479">
        <v>9.5</v>
      </c>
    </row>
    <row r="30" spans="1:5" ht="16.5" customHeight="1" x14ac:dyDescent="0.3">
      <c r="A30" s="480" t="s">
        <v>18</v>
      </c>
      <c r="B30" s="481">
        <f>AVERAGE(B24:B29)</f>
        <v>83757025</v>
      </c>
      <c r="C30" s="482">
        <f>AVERAGE(C24:C29)</f>
        <v>88972.35000000002</v>
      </c>
      <c r="D30" s="483">
        <f>AVERAGE(D24:D29)</f>
        <v>1.0999999999999999</v>
      </c>
      <c r="E30" s="483">
        <f>AVERAGE(E24:E29)</f>
        <v>9.5</v>
      </c>
    </row>
    <row r="31" spans="1:5" ht="16.5" customHeight="1" x14ac:dyDescent="0.3">
      <c r="A31" s="484" t="s">
        <v>19</v>
      </c>
      <c r="B31" s="485">
        <f>(STDEV(B24:B29)/B30)</f>
        <v>2.8665690750405643E-3</v>
      </c>
      <c r="C31" s="486"/>
      <c r="D31" s="486"/>
      <c r="E31" s="487"/>
    </row>
    <row r="32" spans="1:5" s="460" customFormat="1" ht="16.5" customHeight="1" x14ac:dyDescent="0.3">
      <c r="A32" s="488" t="s">
        <v>20</v>
      </c>
      <c r="B32" s="489">
        <f>COUNT(B24:B29)</f>
        <v>6</v>
      </c>
      <c r="C32" s="490"/>
      <c r="D32" s="491"/>
      <c r="E32" s="492"/>
    </row>
    <row r="33" spans="1:5" s="460" customFormat="1" ht="15.75" customHeight="1" x14ac:dyDescent="0.25">
      <c r="A33" s="466"/>
      <c r="B33" s="466"/>
      <c r="C33" s="466"/>
      <c r="D33" s="466"/>
      <c r="E33" s="466"/>
    </row>
    <row r="34" spans="1:5" s="460" customFormat="1" ht="16.5" customHeight="1" x14ac:dyDescent="0.3">
      <c r="A34" s="467" t="s">
        <v>21</v>
      </c>
      <c r="B34" s="493" t="s">
        <v>22</v>
      </c>
      <c r="C34" s="494"/>
      <c r="D34" s="494"/>
      <c r="E34" s="494"/>
    </row>
    <row r="35" spans="1:5" ht="16.5" customHeight="1" x14ac:dyDescent="0.3">
      <c r="A35" s="467"/>
      <c r="B35" s="493" t="s">
        <v>23</v>
      </c>
      <c r="C35" s="494"/>
      <c r="D35" s="494"/>
      <c r="E35" s="494"/>
    </row>
    <row r="36" spans="1:5" ht="16.5" customHeight="1" x14ac:dyDescent="0.3">
      <c r="A36" s="467"/>
      <c r="B36" s="493" t="s">
        <v>24</v>
      </c>
      <c r="C36" s="494"/>
      <c r="D36" s="494"/>
      <c r="E36" s="494"/>
    </row>
    <row r="37" spans="1:5" ht="15.75" customHeight="1" x14ac:dyDescent="0.25">
      <c r="A37" s="466"/>
      <c r="B37" s="466"/>
      <c r="C37" s="466"/>
      <c r="D37" s="466"/>
      <c r="E37" s="466"/>
    </row>
    <row r="38" spans="1:5" ht="16.5" customHeight="1" x14ac:dyDescent="0.3">
      <c r="A38" s="462" t="s">
        <v>1</v>
      </c>
      <c r="B38" s="463" t="s">
        <v>25</v>
      </c>
    </row>
    <row r="39" spans="1:5" ht="16.5" customHeight="1" x14ac:dyDescent="0.3">
      <c r="A39" s="467" t="s">
        <v>4</v>
      </c>
      <c r="B39" s="557" t="str">
        <f>B18</f>
        <v>RIFAMPICIN</v>
      </c>
      <c r="C39" s="466"/>
      <c r="D39" s="466"/>
      <c r="E39" s="466"/>
    </row>
    <row r="40" spans="1:5" ht="16.5" customHeight="1" x14ac:dyDescent="0.3">
      <c r="A40" s="467" t="s">
        <v>6</v>
      </c>
      <c r="B40" s="468">
        <v>98.5</v>
      </c>
      <c r="C40" s="466"/>
      <c r="D40" s="466"/>
      <c r="E40" s="466"/>
    </row>
    <row r="41" spans="1:5" ht="16.5" customHeight="1" x14ac:dyDescent="0.3">
      <c r="A41" s="464" t="s">
        <v>8</v>
      </c>
      <c r="B41" s="468">
        <v>15.69</v>
      </c>
      <c r="C41" s="466"/>
      <c r="D41" s="466"/>
      <c r="E41" s="466"/>
    </row>
    <row r="42" spans="1:5" ht="16.5" customHeight="1" x14ac:dyDescent="0.3">
      <c r="A42" s="464" t="s">
        <v>10</v>
      </c>
      <c r="B42" s="470">
        <v>0.15689999999999998</v>
      </c>
      <c r="C42" s="466"/>
      <c r="D42" s="466"/>
      <c r="E42" s="466"/>
    </row>
    <row r="43" spans="1:5" ht="15.75" customHeight="1" x14ac:dyDescent="0.25">
      <c r="A43" s="466"/>
      <c r="B43" s="466"/>
      <c r="C43" s="466"/>
      <c r="D43" s="466"/>
      <c r="E43" s="466"/>
    </row>
    <row r="44" spans="1:5" ht="16.5" customHeight="1" x14ac:dyDescent="0.3">
      <c r="A44" s="472" t="s">
        <v>13</v>
      </c>
      <c r="B44" s="473" t="s">
        <v>14</v>
      </c>
      <c r="C44" s="472" t="s">
        <v>15</v>
      </c>
      <c r="D44" s="472" t="s">
        <v>16</v>
      </c>
      <c r="E44" s="472" t="s">
        <v>17</v>
      </c>
    </row>
    <row r="45" spans="1:5" ht="16.5" customHeight="1" x14ac:dyDescent="0.3">
      <c r="A45" s="474">
        <v>1</v>
      </c>
      <c r="B45" s="475">
        <v>83818896</v>
      </c>
      <c r="C45" s="475">
        <v>88715.6</v>
      </c>
      <c r="D45" s="476">
        <v>1.1000000000000001</v>
      </c>
      <c r="E45" s="477">
        <v>9.5</v>
      </c>
    </row>
    <row r="46" spans="1:5" ht="16.5" customHeight="1" x14ac:dyDescent="0.3">
      <c r="A46" s="474">
        <v>2</v>
      </c>
      <c r="B46" s="475">
        <v>83842035</v>
      </c>
      <c r="C46" s="475">
        <v>89045.8</v>
      </c>
      <c r="D46" s="476">
        <v>1.1000000000000001</v>
      </c>
      <c r="E46" s="476">
        <v>9.5</v>
      </c>
    </row>
    <row r="47" spans="1:5" ht="16.5" customHeight="1" x14ac:dyDescent="0.3">
      <c r="A47" s="474">
        <v>3</v>
      </c>
      <c r="B47" s="475">
        <v>83874109</v>
      </c>
      <c r="C47" s="475">
        <v>88851.4</v>
      </c>
      <c r="D47" s="476">
        <v>1.1000000000000001</v>
      </c>
      <c r="E47" s="476">
        <v>9.5</v>
      </c>
    </row>
    <row r="48" spans="1:5" ht="16.5" customHeight="1" x14ac:dyDescent="0.3">
      <c r="A48" s="474">
        <v>4</v>
      </c>
      <c r="B48" s="475">
        <v>83904016</v>
      </c>
      <c r="C48" s="475">
        <v>89210.8</v>
      </c>
      <c r="D48" s="476">
        <v>1.1000000000000001</v>
      </c>
      <c r="E48" s="476">
        <v>9.5</v>
      </c>
    </row>
    <row r="49" spans="1:7" ht="16.5" customHeight="1" x14ac:dyDescent="0.3">
      <c r="A49" s="474">
        <v>5</v>
      </c>
      <c r="B49" s="475">
        <v>83270997</v>
      </c>
      <c r="C49" s="475">
        <v>89041.5</v>
      </c>
      <c r="D49" s="476">
        <v>1.1000000000000001</v>
      </c>
      <c r="E49" s="476">
        <v>9.5</v>
      </c>
    </row>
    <row r="50" spans="1:7" ht="16.5" customHeight="1" x14ac:dyDescent="0.3">
      <c r="A50" s="474">
        <v>6</v>
      </c>
      <c r="B50" s="478">
        <v>83832097</v>
      </c>
      <c r="C50" s="478">
        <v>88969</v>
      </c>
      <c r="D50" s="479">
        <v>1.1000000000000001</v>
      </c>
      <c r="E50" s="479">
        <v>9.5</v>
      </c>
    </row>
    <row r="51" spans="1:7" ht="16.5" customHeight="1" x14ac:dyDescent="0.3">
      <c r="A51" s="480" t="s">
        <v>18</v>
      </c>
      <c r="B51" s="481">
        <f>AVERAGE(B45:B50)</f>
        <v>83757025</v>
      </c>
      <c r="C51" s="482">
        <f>AVERAGE(C45:C50)</f>
        <v>88972.35000000002</v>
      </c>
      <c r="D51" s="483">
        <f>AVERAGE(D45:D50)</f>
        <v>1.0999999999999999</v>
      </c>
      <c r="E51" s="483">
        <f>AVERAGE(E45:E50)</f>
        <v>9.5</v>
      </c>
    </row>
    <row r="52" spans="1:7" ht="16.5" customHeight="1" x14ac:dyDescent="0.3">
      <c r="A52" s="484" t="s">
        <v>19</v>
      </c>
      <c r="B52" s="485">
        <f>(STDEV(B45:B50)/B51)</f>
        <v>2.8665690750405643E-3</v>
      </c>
      <c r="C52" s="486"/>
      <c r="D52" s="486"/>
      <c r="E52" s="487"/>
    </row>
    <row r="53" spans="1:7" s="460" customFormat="1" ht="16.5" customHeight="1" x14ac:dyDescent="0.3">
      <c r="A53" s="488" t="s">
        <v>20</v>
      </c>
      <c r="B53" s="489">
        <f>COUNT(B45:B50)</f>
        <v>6</v>
      </c>
      <c r="C53" s="490"/>
      <c r="D53" s="491"/>
      <c r="E53" s="492"/>
    </row>
    <row r="54" spans="1:7" s="460" customFormat="1" ht="15.75" customHeight="1" x14ac:dyDescent="0.25">
      <c r="A54" s="466"/>
      <c r="B54" s="466"/>
      <c r="C54" s="466"/>
      <c r="D54" s="466"/>
      <c r="E54" s="466"/>
    </row>
    <row r="55" spans="1:7" s="460" customFormat="1" ht="16.5" customHeight="1" x14ac:dyDescent="0.3">
      <c r="A55" s="467" t="s">
        <v>21</v>
      </c>
      <c r="B55" s="493" t="s">
        <v>22</v>
      </c>
      <c r="C55" s="494"/>
      <c r="D55" s="494"/>
      <c r="E55" s="494"/>
    </row>
    <row r="56" spans="1:7" ht="16.5" customHeight="1" x14ac:dyDescent="0.3">
      <c r="A56" s="467"/>
      <c r="B56" s="493" t="s">
        <v>23</v>
      </c>
      <c r="C56" s="494"/>
      <c r="D56" s="494"/>
      <c r="E56" s="494"/>
    </row>
    <row r="57" spans="1:7" ht="16.5" customHeight="1" x14ac:dyDescent="0.3">
      <c r="A57" s="467"/>
      <c r="B57" s="493" t="s">
        <v>24</v>
      </c>
      <c r="C57" s="494"/>
      <c r="D57" s="494"/>
      <c r="E57" s="494"/>
    </row>
    <row r="58" spans="1:7" ht="14.25" customHeight="1" thickBot="1" x14ac:dyDescent="0.3">
      <c r="A58" s="495"/>
      <c r="B58" s="496"/>
      <c r="D58" s="497"/>
      <c r="F58" s="498"/>
      <c r="G58" s="498"/>
    </row>
    <row r="59" spans="1:7" ht="15" customHeight="1" x14ac:dyDescent="0.3">
      <c r="B59" s="507" t="s">
        <v>26</v>
      </c>
      <c r="C59" s="507"/>
      <c r="E59" s="499" t="s">
        <v>27</v>
      </c>
      <c r="F59" s="500"/>
      <c r="G59" s="499" t="s">
        <v>28</v>
      </c>
    </row>
    <row r="60" spans="1:7" ht="15" customHeight="1" x14ac:dyDescent="0.3">
      <c r="A60" s="501" t="s">
        <v>29</v>
      </c>
      <c r="B60" s="502" t="s">
        <v>126</v>
      </c>
      <c r="C60" s="503"/>
      <c r="E60" s="502" t="s">
        <v>128</v>
      </c>
      <c r="G60" s="503"/>
    </row>
    <row r="61" spans="1:7" ht="15" customHeight="1" x14ac:dyDescent="0.3">
      <c r="A61" s="501" t="s">
        <v>30</v>
      </c>
      <c r="B61" s="504"/>
      <c r="C61" s="504"/>
      <c r="E61" s="504"/>
      <c r="G61" s="50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" workbookViewId="0">
      <selection activeCell="B20" sqref="B20"/>
    </sheetView>
  </sheetViews>
  <sheetFormatPr defaultRowHeight="13.5" x14ac:dyDescent="0.25"/>
  <cols>
    <col min="1" max="1" width="27.5703125" style="413" customWidth="1"/>
    <col min="2" max="2" width="20.42578125" style="413" customWidth="1"/>
    <col min="3" max="3" width="31.85546875" style="413" customWidth="1"/>
    <col min="4" max="4" width="25.85546875" style="413" customWidth="1"/>
    <col min="5" max="5" width="25.7109375" style="413" customWidth="1"/>
    <col min="6" max="6" width="23.140625" style="413" customWidth="1"/>
    <col min="7" max="7" width="28.42578125" style="413" customWidth="1"/>
    <col min="8" max="8" width="21.5703125" style="413" customWidth="1"/>
    <col min="9" max="9" width="9.140625" style="413" customWidth="1"/>
    <col min="10" max="16384" width="9.140625" style="451"/>
  </cols>
  <sheetData>
    <row r="14" spans="1:6" ht="15" customHeight="1" x14ac:dyDescent="0.3">
      <c r="A14" s="412"/>
      <c r="C14" s="414"/>
      <c r="F14" s="414"/>
    </row>
    <row r="15" spans="1:6" ht="18.75" customHeight="1" x14ac:dyDescent="0.3">
      <c r="A15" s="508" t="s">
        <v>0</v>
      </c>
      <c r="B15" s="508"/>
      <c r="C15" s="508"/>
      <c r="D15" s="508"/>
      <c r="E15" s="508"/>
    </row>
    <row r="16" spans="1:6" ht="16.5" customHeight="1" x14ac:dyDescent="0.3">
      <c r="A16" s="415" t="s">
        <v>1</v>
      </c>
      <c r="B16" s="416" t="s">
        <v>2</v>
      </c>
    </row>
    <row r="17" spans="1:5" ht="16.5" customHeight="1" x14ac:dyDescent="0.3">
      <c r="A17" s="417" t="s">
        <v>3</v>
      </c>
      <c r="B17" s="417" t="s">
        <v>5</v>
      </c>
      <c r="D17" s="418"/>
      <c r="E17" s="419"/>
    </row>
    <row r="18" spans="1:5" ht="16.5" customHeight="1" x14ac:dyDescent="0.3">
      <c r="A18" s="420" t="s">
        <v>4</v>
      </c>
      <c r="B18" s="421" t="str">
        <f>ISONIAZID!B26</f>
        <v>ISONIAZID</v>
      </c>
      <c r="C18" s="419"/>
      <c r="D18" s="419"/>
      <c r="E18" s="419"/>
    </row>
    <row r="19" spans="1:5" ht="16.5" customHeight="1" x14ac:dyDescent="0.3">
      <c r="A19" s="420" t="s">
        <v>6</v>
      </c>
      <c r="B19" s="422">
        <v>99.9</v>
      </c>
      <c r="C19" s="419"/>
      <c r="D19" s="419"/>
      <c r="E19" s="419"/>
    </row>
    <row r="20" spans="1:5" ht="16.5" customHeight="1" x14ac:dyDescent="0.3">
      <c r="A20" s="417" t="s">
        <v>8</v>
      </c>
      <c r="B20" s="421">
        <v>10.75</v>
      </c>
      <c r="C20" s="419"/>
      <c r="D20" s="419"/>
      <c r="E20" s="419"/>
    </row>
    <row r="21" spans="1:5" ht="16.5" customHeight="1" x14ac:dyDescent="0.3">
      <c r="A21" s="417" t="s">
        <v>10</v>
      </c>
      <c r="B21" s="423">
        <f>B20/100</f>
        <v>0.1075</v>
      </c>
      <c r="C21" s="419"/>
      <c r="D21" s="419"/>
      <c r="E21" s="419"/>
    </row>
    <row r="22" spans="1:5" ht="15.75" customHeight="1" x14ac:dyDescent="0.25">
      <c r="A22" s="419"/>
      <c r="B22" s="424" t="s">
        <v>125</v>
      </c>
      <c r="C22" s="419"/>
      <c r="D22" s="419"/>
      <c r="E22" s="419"/>
    </row>
    <row r="23" spans="1:5" ht="16.5" customHeight="1" x14ac:dyDescent="0.3">
      <c r="A23" s="425" t="s">
        <v>13</v>
      </c>
      <c r="B23" s="426" t="s">
        <v>14</v>
      </c>
      <c r="C23" s="425" t="s">
        <v>15</v>
      </c>
      <c r="D23" s="425" t="s">
        <v>16</v>
      </c>
      <c r="E23" s="425" t="s">
        <v>17</v>
      </c>
    </row>
    <row r="24" spans="1:5" ht="16.5" customHeight="1" x14ac:dyDescent="0.3">
      <c r="A24" s="427">
        <v>1</v>
      </c>
      <c r="B24" s="428">
        <v>41037818</v>
      </c>
      <c r="C24" s="428">
        <v>12657.5</v>
      </c>
      <c r="D24" s="429">
        <v>1.2</v>
      </c>
      <c r="E24" s="430">
        <v>3.7</v>
      </c>
    </row>
    <row r="25" spans="1:5" ht="16.5" customHeight="1" x14ac:dyDescent="0.3">
      <c r="A25" s="427">
        <v>2</v>
      </c>
      <c r="B25" s="428">
        <v>41354650</v>
      </c>
      <c r="C25" s="428">
        <v>12120.7</v>
      </c>
      <c r="D25" s="429">
        <v>1.2</v>
      </c>
      <c r="E25" s="429">
        <v>3.6</v>
      </c>
    </row>
    <row r="26" spans="1:5" ht="16.5" customHeight="1" x14ac:dyDescent="0.3">
      <c r="A26" s="427">
        <v>3</v>
      </c>
      <c r="B26" s="428">
        <v>41376647</v>
      </c>
      <c r="C26" s="428">
        <v>12146.4</v>
      </c>
      <c r="D26" s="429">
        <v>1.2</v>
      </c>
      <c r="E26" s="429">
        <v>3.6</v>
      </c>
    </row>
    <row r="27" spans="1:5" ht="16.5" customHeight="1" x14ac:dyDescent="0.3">
      <c r="A27" s="427">
        <v>4</v>
      </c>
      <c r="B27" s="428">
        <v>41362675</v>
      </c>
      <c r="C27" s="428">
        <v>12133.3</v>
      </c>
      <c r="D27" s="429">
        <v>1.2</v>
      </c>
      <c r="E27" s="429">
        <v>3.6</v>
      </c>
    </row>
    <row r="28" spans="1:5" ht="16.5" customHeight="1" x14ac:dyDescent="0.3">
      <c r="A28" s="427">
        <v>5</v>
      </c>
      <c r="B28" s="428">
        <v>41074515</v>
      </c>
      <c r="C28" s="428">
        <v>12191.7</v>
      </c>
      <c r="D28" s="429">
        <v>1.2</v>
      </c>
      <c r="E28" s="429">
        <v>3.6</v>
      </c>
    </row>
    <row r="29" spans="1:5" ht="16.5" customHeight="1" x14ac:dyDescent="0.3">
      <c r="A29" s="427">
        <v>6</v>
      </c>
      <c r="B29" s="431">
        <v>41343766</v>
      </c>
      <c r="C29" s="431">
        <v>12181.3</v>
      </c>
      <c r="D29" s="432">
        <v>1.2</v>
      </c>
      <c r="E29" s="432">
        <v>3.6</v>
      </c>
    </row>
    <row r="30" spans="1:5" ht="16.5" customHeight="1" x14ac:dyDescent="0.3">
      <c r="A30" s="433" t="s">
        <v>18</v>
      </c>
      <c r="B30" s="434">
        <f>AVERAGE(B24:B29)</f>
        <v>41258345.166666664</v>
      </c>
      <c r="C30" s="435">
        <f>AVERAGE(C24:C29)</f>
        <v>12238.483333333332</v>
      </c>
      <c r="D30" s="436">
        <f>AVERAGE(D24:D29)</f>
        <v>1.2</v>
      </c>
      <c r="E30" s="436">
        <f>AVERAGE(E24:E29)</f>
        <v>3.6166666666666671</v>
      </c>
    </row>
    <row r="31" spans="1:5" ht="16.5" customHeight="1" x14ac:dyDescent="0.3">
      <c r="A31" s="437" t="s">
        <v>19</v>
      </c>
      <c r="B31" s="438">
        <f>(STDEV(B24:B29)/B30)</f>
        <v>3.81503719298511E-3</v>
      </c>
      <c r="C31" s="439"/>
      <c r="D31" s="439"/>
      <c r="E31" s="440"/>
    </row>
    <row r="32" spans="1:5" s="413" customFormat="1" ht="16.5" customHeight="1" x14ac:dyDescent="0.3">
      <c r="A32" s="441" t="s">
        <v>20</v>
      </c>
      <c r="B32" s="442">
        <f>COUNT(B24:B29)</f>
        <v>6</v>
      </c>
      <c r="C32" s="443"/>
      <c r="D32" s="444"/>
      <c r="E32" s="445"/>
    </row>
    <row r="33" spans="1:5" s="413" customFormat="1" ht="15.75" customHeight="1" x14ac:dyDescent="0.25">
      <c r="A33" s="419"/>
      <c r="B33" s="419"/>
      <c r="C33" s="419"/>
      <c r="D33" s="419"/>
      <c r="E33" s="419"/>
    </row>
    <row r="34" spans="1:5" s="413" customFormat="1" ht="16.5" customHeight="1" x14ac:dyDescent="0.3">
      <c r="A34" s="420" t="s">
        <v>21</v>
      </c>
      <c r="B34" s="446" t="s">
        <v>22</v>
      </c>
      <c r="C34" s="447"/>
      <c r="D34" s="447"/>
      <c r="E34" s="447"/>
    </row>
    <row r="35" spans="1:5" ht="16.5" customHeight="1" x14ac:dyDescent="0.3">
      <c r="A35" s="420"/>
      <c r="B35" s="446" t="s">
        <v>23</v>
      </c>
      <c r="C35" s="447"/>
      <c r="D35" s="447"/>
      <c r="E35" s="447"/>
    </row>
    <row r="36" spans="1:5" ht="16.5" customHeight="1" x14ac:dyDescent="0.3">
      <c r="A36" s="420"/>
      <c r="B36" s="446" t="s">
        <v>24</v>
      </c>
      <c r="C36" s="447"/>
      <c r="D36" s="447"/>
      <c r="E36" s="447"/>
    </row>
    <row r="37" spans="1:5" ht="15.75" customHeight="1" x14ac:dyDescent="0.25">
      <c r="A37" s="419"/>
      <c r="B37" s="419"/>
      <c r="C37" s="419"/>
      <c r="D37" s="419"/>
      <c r="E37" s="419"/>
    </row>
    <row r="38" spans="1:5" ht="16.5" customHeight="1" x14ac:dyDescent="0.3">
      <c r="A38" s="415" t="s">
        <v>1</v>
      </c>
      <c r="B38" s="416" t="s">
        <v>25</v>
      </c>
    </row>
    <row r="39" spans="1:5" ht="16.5" customHeight="1" x14ac:dyDescent="0.3">
      <c r="A39" s="420" t="s">
        <v>4</v>
      </c>
      <c r="B39" s="417" t="s">
        <v>7</v>
      </c>
      <c r="C39" s="419"/>
      <c r="D39" s="419"/>
      <c r="E39" s="419"/>
    </row>
    <row r="40" spans="1:5" ht="16.5" customHeight="1" x14ac:dyDescent="0.3">
      <c r="A40" s="420" t="s">
        <v>6</v>
      </c>
      <c r="B40" s="421">
        <v>99.8</v>
      </c>
      <c r="C40" s="419"/>
      <c r="D40" s="419"/>
      <c r="E40" s="419"/>
    </row>
    <row r="41" spans="1:5" ht="16.5" customHeight="1" x14ac:dyDescent="0.3">
      <c r="A41" s="417" t="s">
        <v>8</v>
      </c>
      <c r="B41" s="421">
        <v>10.75</v>
      </c>
      <c r="C41" s="419"/>
      <c r="D41" s="419"/>
      <c r="E41" s="419"/>
    </row>
    <row r="42" spans="1:5" ht="16.5" customHeight="1" x14ac:dyDescent="0.3">
      <c r="A42" s="417" t="s">
        <v>10</v>
      </c>
      <c r="B42" s="423">
        <v>0.1075</v>
      </c>
      <c r="C42" s="419"/>
      <c r="D42" s="419"/>
      <c r="E42" s="419"/>
    </row>
    <row r="43" spans="1:5" ht="15.75" customHeight="1" x14ac:dyDescent="0.25">
      <c r="A43" s="419"/>
      <c r="B43" s="419"/>
      <c r="C43" s="419"/>
      <c r="D43" s="419"/>
      <c r="E43" s="419"/>
    </row>
    <row r="44" spans="1:5" ht="16.5" customHeight="1" x14ac:dyDescent="0.3">
      <c r="A44" s="425" t="s">
        <v>13</v>
      </c>
      <c r="B44" s="426" t="s">
        <v>14</v>
      </c>
      <c r="C44" s="425" t="s">
        <v>15</v>
      </c>
      <c r="D44" s="425" t="s">
        <v>16</v>
      </c>
      <c r="E44" s="425" t="s">
        <v>17</v>
      </c>
    </row>
    <row r="45" spans="1:5" ht="16.5" customHeight="1" x14ac:dyDescent="0.3">
      <c r="A45" s="427">
        <v>1</v>
      </c>
      <c r="B45" s="428">
        <v>41037818</v>
      </c>
      <c r="C45" s="428">
        <v>12657.5</v>
      </c>
      <c r="D45" s="429">
        <v>1.2</v>
      </c>
      <c r="E45" s="430">
        <v>3.7</v>
      </c>
    </row>
    <row r="46" spans="1:5" ht="16.5" customHeight="1" x14ac:dyDescent="0.3">
      <c r="A46" s="427">
        <v>2</v>
      </c>
      <c r="B46" s="428">
        <v>41354650</v>
      </c>
      <c r="C46" s="428">
        <v>12120.7</v>
      </c>
      <c r="D46" s="429">
        <v>1.2</v>
      </c>
      <c r="E46" s="429">
        <v>3.6</v>
      </c>
    </row>
    <row r="47" spans="1:5" ht="16.5" customHeight="1" x14ac:dyDescent="0.3">
      <c r="A47" s="427">
        <v>3</v>
      </c>
      <c r="B47" s="428">
        <v>41376647</v>
      </c>
      <c r="C47" s="428">
        <v>12146.4</v>
      </c>
      <c r="D47" s="429">
        <v>1.2</v>
      </c>
      <c r="E47" s="429">
        <v>3.6</v>
      </c>
    </row>
    <row r="48" spans="1:5" ht="16.5" customHeight="1" x14ac:dyDescent="0.3">
      <c r="A48" s="427">
        <v>4</v>
      </c>
      <c r="B48" s="428">
        <v>41362675</v>
      </c>
      <c r="C48" s="428">
        <v>12133.3</v>
      </c>
      <c r="D48" s="429">
        <v>1.2</v>
      </c>
      <c r="E48" s="429">
        <v>3.6</v>
      </c>
    </row>
    <row r="49" spans="1:7" ht="16.5" customHeight="1" x14ac:dyDescent="0.3">
      <c r="A49" s="427">
        <v>5</v>
      </c>
      <c r="B49" s="428">
        <v>41074515</v>
      </c>
      <c r="C49" s="428">
        <v>12191.7</v>
      </c>
      <c r="D49" s="429">
        <v>1.2</v>
      </c>
      <c r="E49" s="429">
        <v>3.6</v>
      </c>
    </row>
    <row r="50" spans="1:7" ht="16.5" customHeight="1" x14ac:dyDescent="0.3">
      <c r="A50" s="427">
        <v>6</v>
      </c>
      <c r="B50" s="431">
        <v>41343766</v>
      </c>
      <c r="C50" s="431">
        <v>12181.3</v>
      </c>
      <c r="D50" s="432">
        <v>1.2</v>
      </c>
      <c r="E50" s="432">
        <v>3.6</v>
      </c>
    </row>
    <row r="51" spans="1:7" ht="16.5" customHeight="1" x14ac:dyDescent="0.3">
      <c r="A51" s="433" t="s">
        <v>18</v>
      </c>
      <c r="B51" s="434">
        <f>AVERAGE(B45:B50)</f>
        <v>41258345.166666664</v>
      </c>
      <c r="C51" s="435">
        <f>AVERAGE(C45:C50)</f>
        <v>12238.483333333332</v>
      </c>
      <c r="D51" s="436">
        <f>AVERAGE(D45:D50)</f>
        <v>1.2</v>
      </c>
      <c r="E51" s="436">
        <f>AVERAGE(E45:E50)</f>
        <v>3.6166666666666671</v>
      </c>
    </row>
    <row r="52" spans="1:7" ht="16.5" customHeight="1" x14ac:dyDescent="0.3">
      <c r="A52" s="437" t="s">
        <v>19</v>
      </c>
      <c r="B52" s="438">
        <f>(STDEV(B45:B50)/B51)</f>
        <v>3.81503719298511E-3</v>
      </c>
      <c r="C52" s="439"/>
      <c r="D52" s="439"/>
      <c r="E52" s="440"/>
    </row>
    <row r="53" spans="1:7" s="413" customFormat="1" ht="16.5" customHeight="1" x14ac:dyDescent="0.3">
      <c r="A53" s="441" t="s">
        <v>20</v>
      </c>
      <c r="B53" s="442">
        <f>COUNT(B45:B50)</f>
        <v>6</v>
      </c>
      <c r="C53" s="443"/>
      <c r="D53" s="444"/>
      <c r="E53" s="445"/>
    </row>
    <row r="54" spans="1:7" s="413" customFormat="1" ht="15.75" customHeight="1" x14ac:dyDescent="0.25">
      <c r="A54" s="419"/>
      <c r="B54" s="419"/>
      <c r="C54" s="419"/>
      <c r="D54" s="419"/>
      <c r="E54" s="419"/>
    </row>
    <row r="55" spans="1:7" s="413" customFormat="1" ht="16.5" customHeight="1" x14ac:dyDescent="0.3">
      <c r="A55" s="420" t="s">
        <v>21</v>
      </c>
      <c r="B55" s="446" t="s">
        <v>22</v>
      </c>
      <c r="C55" s="447"/>
      <c r="D55" s="447"/>
      <c r="E55" s="447"/>
    </row>
    <row r="56" spans="1:7" ht="16.5" customHeight="1" x14ac:dyDescent="0.3">
      <c r="A56" s="420"/>
      <c r="B56" s="446" t="s">
        <v>23</v>
      </c>
      <c r="C56" s="447"/>
      <c r="D56" s="447"/>
      <c r="E56" s="447"/>
    </row>
    <row r="57" spans="1:7" ht="16.5" customHeight="1" x14ac:dyDescent="0.3">
      <c r="A57" s="420"/>
      <c r="B57" s="446" t="s">
        <v>24</v>
      </c>
      <c r="C57" s="447"/>
      <c r="D57" s="447"/>
      <c r="E57" s="447"/>
    </row>
    <row r="58" spans="1:7" ht="14.25" customHeight="1" thickBot="1" x14ac:dyDescent="0.3">
      <c r="A58" s="448"/>
      <c r="B58" s="449"/>
      <c r="D58" s="450"/>
      <c r="F58" s="451"/>
      <c r="G58" s="451"/>
    </row>
    <row r="59" spans="1:7" ht="15" customHeight="1" x14ac:dyDescent="0.3">
      <c r="B59" s="509" t="s">
        <v>26</v>
      </c>
      <c r="C59" s="509"/>
      <c r="E59" s="452" t="s">
        <v>27</v>
      </c>
      <c r="F59" s="453"/>
      <c r="G59" s="452" t="s">
        <v>28</v>
      </c>
    </row>
    <row r="60" spans="1:7" ht="15" customHeight="1" x14ac:dyDescent="0.3">
      <c r="A60" s="454" t="s">
        <v>29</v>
      </c>
      <c r="B60" s="455" t="s">
        <v>126</v>
      </c>
      <c r="C60" s="456"/>
      <c r="E60" s="455" t="s">
        <v>127</v>
      </c>
      <c r="G60" s="456"/>
    </row>
    <row r="61" spans="1:7" ht="15" customHeight="1" x14ac:dyDescent="0.3">
      <c r="A61" s="454" t="s">
        <v>30</v>
      </c>
      <c r="B61" s="457"/>
      <c r="C61" s="457"/>
      <c r="E61" s="457"/>
      <c r="G61" s="45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3" t="s">
        <v>31</v>
      </c>
      <c r="B11" s="514"/>
      <c r="C11" s="514"/>
      <c r="D11" s="514"/>
      <c r="E11" s="514"/>
      <c r="F11" s="515"/>
      <c r="G11" s="43"/>
    </row>
    <row r="12" spans="1:7" ht="16.5" customHeight="1" x14ac:dyDescent="0.3">
      <c r="A12" s="512" t="s">
        <v>32</v>
      </c>
      <c r="B12" s="512"/>
      <c r="C12" s="512"/>
      <c r="D12" s="512"/>
      <c r="E12" s="512"/>
      <c r="F12" s="512"/>
      <c r="G12" s="42"/>
    </row>
    <row r="14" spans="1:7" ht="16.5" customHeight="1" x14ac:dyDescent="0.3">
      <c r="A14" s="517" t="s">
        <v>33</v>
      </c>
      <c r="B14" s="517"/>
      <c r="C14" s="12" t="s">
        <v>5</v>
      </c>
    </row>
    <row r="15" spans="1:7" ht="16.5" customHeight="1" x14ac:dyDescent="0.3">
      <c r="A15" s="517" t="s">
        <v>34</v>
      </c>
      <c r="B15" s="517"/>
      <c r="C15" s="12" t="s">
        <v>7</v>
      </c>
    </row>
    <row r="16" spans="1:7" ht="16.5" customHeight="1" x14ac:dyDescent="0.3">
      <c r="A16" s="517" t="s">
        <v>35</v>
      </c>
      <c r="B16" s="517"/>
      <c r="C16" s="12" t="s">
        <v>9</v>
      </c>
    </row>
    <row r="17" spans="1:5" ht="16.5" customHeight="1" x14ac:dyDescent="0.3">
      <c r="A17" s="517" t="s">
        <v>36</v>
      </c>
      <c r="B17" s="517"/>
      <c r="C17" s="12" t="s">
        <v>11</v>
      </c>
    </row>
    <row r="18" spans="1:5" ht="16.5" customHeight="1" x14ac:dyDescent="0.3">
      <c r="A18" s="517" t="s">
        <v>37</v>
      </c>
      <c r="B18" s="517"/>
      <c r="C18" s="49" t="s">
        <v>12</v>
      </c>
    </row>
    <row r="19" spans="1:5" ht="16.5" customHeight="1" x14ac:dyDescent="0.3">
      <c r="A19" s="517" t="s">
        <v>38</v>
      </c>
      <c r="B19" s="51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2" t="s">
        <v>1</v>
      </c>
      <c r="B21" s="512"/>
      <c r="C21" s="11" t="s">
        <v>39</v>
      </c>
      <c r="D21" s="18"/>
    </row>
    <row r="22" spans="1:5" ht="15.75" customHeight="1" x14ac:dyDescent="0.3">
      <c r="A22" s="516"/>
      <c r="B22" s="516"/>
      <c r="C22" s="9"/>
      <c r="D22" s="516"/>
      <c r="E22" s="516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376.92</v>
      </c>
      <c r="D24" s="39">
        <f t="shared" ref="D24:D43" si="0">(C24-$C$46)/$C$46</f>
        <v>9.1079947954318171E-3</v>
      </c>
      <c r="E24" s="5"/>
    </row>
    <row r="25" spans="1:5" ht="15.75" customHeight="1" x14ac:dyDescent="0.3">
      <c r="C25" s="47">
        <v>374.68</v>
      </c>
      <c r="D25" s="40">
        <f t="shared" si="0"/>
        <v>3.1109611852711025E-3</v>
      </c>
      <c r="E25" s="5"/>
    </row>
    <row r="26" spans="1:5" ht="15.75" customHeight="1" x14ac:dyDescent="0.3">
      <c r="C26" s="47">
        <v>362.51</v>
      </c>
      <c r="D26" s="40">
        <f t="shared" si="0"/>
        <v>-2.9471136598503759E-2</v>
      </c>
      <c r="E26" s="5"/>
    </row>
    <row r="27" spans="1:5" ht="15.75" customHeight="1" x14ac:dyDescent="0.3">
      <c r="C27" s="47">
        <v>376.32</v>
      </c>
      <c r="D27" s="40">
        <f t="shared" si="0"/>
        <v>7.5016465069958566E-3</v>
      </c>
      <c r="E27" s="5"/>
    </row>
    <row r="28" spans="1:5" ht="15.75" customHeight="1" x14ac:dyDescent="0.3">
      <c r="C28" s="47">
        <v>372.19</v>
      </c>
      <c r="D28" s="40">
        <f t="shared" si="0"/>
        <v>-3.5553842117379028E-3</v>
      </c>
      <c r="E28" s="5"/>
    </row>
    <row r="29" spans="1:5" ht="15.75" customHeight="1" x14ac:dyDescent="0.3">
      <c r="C29" s="47">
        <v>377.67</v>
      </c>
      <c r="D29" s="40">
        <f t="shared" si="0"/>
        <v>1.1115930155976691E-2</v>
      </c>
      <c r="E29" s="5"/>
    </row>
    <row r="30" spans="1:5" ht="15.75" customHeight="1" x14ac:dyDescent="0.3">
      <c r="C30" s="47">
        <v>370.83</v>
      </c>
      <c r="D30" s="40">
        <f t="shared" si="0"/>
        <v>-7.1964403321926442E-3</v>
      </c>
      <c r="E30" s="5"/>
    </row>
    <row r="31" spans="1:5" ht="15.75" customHeight="1" x14ac:dyDescent="0.3">
      <c r="C31" s="47">
        <v>379.36</v>
      </c>
      <c r="D31" s="40">
        <f t="shared" si="0"/>
        <v>1.5640477835071134E-2</v>
      </c>
      <c r="E31" s="5"/>
    </row>
    <row r="32" spans="1:5" ht="15.75" customHeight="1" x14ac:dyDescent="0.3">
      <c r="C32" s="47">
        <v>378.6</v>
      </c>
      <c r="D32" s="40">
        <f t="shared" si="0"/>
        <v>1.3605770003052351E-2</v>
      </c>
      <c r="E32" s="5"/>
    </row>
    <row r="33" spans="1:7" ht="15.75" customHeight="1" x14ac:dyDescent="0.3">
      <c r="C33" s="47">
        <v>365.16</v>
      </c>
      <c r="D33" s="40">
        <f t="shared" si="0"/>
        <v>-2.2376431657911779E-2</v>
      </c>
      <c r="E33" s="5"/>
    </row>
    <row r="34" spans="1:7" ht="15.75" customHeight="1" x14ac:dyDescent="0.3">
      <c r="C34" s="47">
        <v>377.29</v>
      </c>
      <c r="D34" s="40">
        <f t="shared" si="0"/>
        <v>1.0098576239967299E-2</v>
      </c>
      <c r="E34" s="5"/>
    </row>
    <row r="35" spans="1:7" ht="15.75" customHeight="1" x14ac:dyDescent="0.3">
      <c r="C35" s="47">
        <v>364.69</v>
      </c>
      <c r="D35" s="40">
        <f t="shared" si="0"/>
        <v>-2.3634737817186641E-2</v>
      </c>
      <c r="E35" s="5"/>
    </row>
    <row r="36" spans="1:7" ht="15.75" customHeight="1" x14ac:dyDescent="0.3">
      <c r="C36" s="47">
        <v>380.65</v>
      </c>
      <c r="D36" s="40">
        <f t="shared" si="0"/>
        <v>1.909412665520822E-2</v>
      </c>
      <c r="E36" s="5"/>
    </row>
    <row r="37" spans="1:7" ht="15.75" customHeight="1" x14ac:dyDescent="0.3">
      <c r="C37" s="47">
        <v>361.29</v>
      </c>
      <c r="D37" s="40">
        <f t="shared" si="0"/>
        <v>-3.2737378118323342E-2</v>
      </c>
      <c r="E37" s="5"/>
    </row>
    <row r="38" spans="1:7" ht="15.75" customHeight="1" x14ac:dyDescent="0.3">
      <c r="C38" s="47">
        <v>375.02</v>
      </c>
      <c r="D38" s="40">
        <f t="shared" si="0"/>
        <v>4.0212252153847116E-3</v>
      </c>
      <c r="E38" s="5"/>
    </row>
    <row r="39" spans="1:7" ht="15.75" customHeight="1" x14ac:dyDescent="0.3">
      <c r="C39" s="47">
        <v>374.24</v>
      </c>
      <c r="D39" s="40">
        <f t="shared" si="0"/>
        <v>1.9329724404181161E-3</v>
      </c>
      <c r="E39" s="5"/>
    </row>
    <row r="40" spans="1:7" ht="15.75" customHeight="1" x14ac:dyDescent="0.3">
      <c r="C40" s="47">
        <v>375.91</v>
      </c>
      <c r="D40" s="40">
        <f t="shared" si="0"/>
        <v>6.4039751765647438E-3</v>
      </c>
      <c r="E40" s="5"/>
    </row>
    <row r="41" spans="1:7" ht="15.75" customHeight="1" x14ac:dyDescent="0.3">
      <c r="C41" s="47">
        <v>373.11</v>
      </c>
      <c r="D41" s="40">
        <f t="shared" si="0"/>
        <v>-1.0923168361361485E-3</v>
      </c>
      <c r="E41" s="5"/>
    </row>
    <row r="42" spans="1:7" ht="15.75" customHeight="1" x14ac:dyDescent="0.3">
      <c r="C42" s="47">
        <v>377.24</v>
      </c>
      <c r="D42" s="40">
        <f t="shared" si="0"/>
        <v>9.9647138825976114E-3</v>
      </c>
      <c r="E42" s="5"/>
    </row>
    <row r="43" spans="1:7" ht="16.5" customHeight="1" x14ac:dyDescent="0.3">
      <c r="C43" s="48">
        <v>376.68</v>
      </c>
      <c r="D43" s="41">
        <f t="shared" si="0"/>
        <v>8.4654554800574332E-3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7470.3599999999979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373.51799999999992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0">
        <f>C46</f>
        <v>373.51799999999992</v>
      </c>
      <c r="C49" s="45">
        <f>-IF(C46&lt;=80,10%,IF(C46&lt;250,7.5%,5%))</f>
        <v>-0.05</v>
      </c>
      <c r="D49" s="33">
        <f>IF(C46&lt;=80,C46*0.9,IF(C46&lt;250,C46*0.925,C46*0.95))</f>
        <v>354.8420999999999</v>
      </c>
    </row>
    <row r="50" spans="1:6" ht="17.25" customHeight="1" x14ac:dyDescent="0.3">
      <c r="B50" s="511"/>
      <c r="C50" s="46">
        <f>IF(C46&lt;=80, 10%, IF(C46&lt;250, 7.5%, 5%))</f>
        <v>0.05</v>
      </c>
      <c r="D50" s="33">
        <f>IF(C46&lt;=80, C46*1.1, IF(C46&lt;250, C46*1.075, C46*1.05))</f>
        <v>392.19389999999993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45" zoomScale="55" zoomScaleNormal="40" zoomScaleSheetLayoutView="55" zoomScalePageLayoutView="42" workbookViewId="0">
      <selection activeCell="E49" sqref="E4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8" t="s">
        <v>45</v>
      </c>
      <c r="B1" s="518"/>
      <c r="C1" s="518"/>
      <c r="D1" s="518"/>
      <c r="E1" s="518"/>
      <c r="F1" s="518"/>
      <c r="G1" s="518"/>
      <c r="H1" s="518"/>
      <c r="I1" s="518"/>
    </row>
    <row r="2" spans="1:9" ht="18.75" customHeight="1" x14ac:dyDescent="0.25">
      <c r="A2" s="518"/>
      <c r="B2" s="518"/>
      <c r="C2" s="518"/>
      <c r="D2" s="518"/>
      <c r="E2" s="518"/>
      <c r="F2" s="518"/>
      <c r="G2" s="518"/>
      <c r="H2" s="518"/>
      <c r="I2" s="518"/>
    </row>
    <row r="3" spans="1:9" ht="18.75" customHeight="1" x14ac:dyDescent="0.25">
      <c r="A3" s="518"/>
      <c r="B3" s="518"/>
      <c r="C3" s="518"/>
      <c r="D3" s="518"/>
      <c r="E3" s="518"/>
      <c r="F3" s="518"/>
      <c r="G3" s="518"/>
      <c r="H3" s="518"/>
      <c r="I3" s="518"/>
    </row>
    <row r="4" spans="1:9" ht="18.75" customHeight="1" x14ac:dyDescent="0.25">
      <c r="A4" s="518"/>
      <c r="B4" s="518"/>
      <c r="C4" s="518"/>
      <c r="D4" s="518"/>
      <c r="E4" s="518"/>
      <c r="F4" s="518"/>
      <c r="G4" s="518"/>
      <c r="H4" s="518"/>
      <c r="I4" s="518"/>
    </row>
    <row r="5" spans="1:9" ht="18.75" customHeight="1" x14ac:dyDescent="0.25">
      <c r="A5" s="518"/>
      <c r="B5" s="518"/>
      <c r="C5" s="518"/>
      <c r="D5" s="518"/>
      <c r="E5" s="518"/>
      <c r="F5" s="518"/>
      <c r="G5" s="518"/>
      <c r="H5" s="518"/>
      <c r="I5" s="518"/>
    </row>
    <row r="6" spans="1:9" ht="18.75" customHeight="1" x14ac:dyDescent="0.25">
      <c r="A6" s="518"/>
      <c r="B6" s="518"/>
      <c r="C6" s="518"/>
      <c r="D6" s="518"/>
      <c r="E6" s="518"/>
      <c r="F6" s="518"/>
      <c r="G6" s="518"/>
      <c r="H6" s="518"/>
      <c r="I6" s="518"/>
    </row>
    <row r="7" spans="1:9" ht="18.75" customHeight="1" x14ac:dyDescent="0.25">
      <c r="A7" s="518"/>
      <c r="B7" s="518"/>
      <c r="C7" s="518"/>
      <c r="D7" s="518"/>
      <c r="E7" s="518"/>
      <c r="F7" s="518"/>
      <c r="G7" s="518"/>
      <c r="H7" s="518"/>
      <c r="I7" s="518"/>
    </row>
    <row r="8" spans="1:9" x14ac:dyDescent="0.25">
      <c r="A8" s="519" t="s">
        <v>46</v>
      </c>
      <c r="B8" s="519"/>
      <c r="C8" s="519"/>
      <c r="D8" s="519"/>
      <c r="E8" s="519"/>
      <c r="F8" s="519"/>
      <c r="G8" s="519"/>
      <c r="H8" s="519"/>
      <c r="I8" s="519"/>
    </row>
    <row r="9" spans="1:9" x14ac:dyDescent="0.25">
      <c r="A9" s="519"/>
      <c r="B9" s="519"/>
      <c r="C9" s="519"/>
      <c r="D9" s="519"/>
      <c r="E9" s="519"/>
      <c r="F9" s="519"/>
      <c r="G9" s="519"/>
      <c r="H9" s="519"/>
      <c r="I9" s="519"/>
    </row>
    <row r="10" spans="1:9" x14ac:dyDescent="0.25">
      <c r="A10" s="519"/>
      <c r="B10" s="519"/>
      <c r="C10" s="519"/>
      <c r="D10" s="519"/>
      <c r="E10" s="519"/>
      <c r="F10" s="519"/>
      <c r="G10" s="519"/>
      <c r="H10" s="519"/>
      <c r="I10" s="519"/>
    </row>
    <row r="11" spans="1:9" x14ac:dyDescent="0.25">
      <c r="A11" s="519"/>
      <c r="B11" s="519"/>
      <c r="C11" s="519"/>
      <c r="D11" s="519"/>
      <c r="E11" s="519"/>
      <c r="F11" s="519"/>
      <c r="G11" s="519"/>
      <c r="H11" s="519"/>
      <c r="I11" s="519"/>
    </row>
    <row r="12" spans="1:9" x14ac:dyDescent="0.25">
      <c r="A12" s="519"/>
      <c r="B12" s="519"/>
      <c r="C12" s="519"/>
      <c r="D12" s="519"/>
      <c r="E12" s="519"/>
      <c r="F12" s="519"/>
      <c r="G12" s="519"/>
      <c r="H12" s="519"/>
      <c r="I12" s="519"/>
    </row>
    <row r="13" spans="1:9" x14ac:dyDescent="0.25">
      <c r="A13" s="519"/>
      <c r="B13" s="519"/>
      <c r="C13" s="519"/>
      <c r="D13" s="519"/>
      <c r="E13" s="519"/>
      <c r="F13" s="519"/>
      <c r="G13" s="519"/>
      <c r="H13" s="519"/>
      <c r="I13" s="519"/>
    </row>
    <row r="14" spans="1:9" x14ac:dyDescent="0.25">
      <c r="A14" s="519"/>
      <c r="B14" s="519"/>
      <c r="C14" s="519"/>
      <c r="D14" s="519"/>
      <c r="E14" s="519"/>
      <c r="F14" s="519"/>
      <c r="G14" s="519"/>
      <c r="H14" s="519"/>
      <c r="I14" s="519"/>
    </row>
    <row r="15" spans="1:9" ht="19.5" customHeight="1" x14ac:dyDescent="0.3">
      <c r="A15" s="50"/>
    </row>
    <row r="16" spans="1:9" ht="19.5" customHeight="1" x14ac:dyDescent="0.3">
      <c r="A16" s="552" t="s">
        <v>31</v>
      </c>
      <c r="B16" s="553"/>
      <c r="C16" s="553"/>
      <c r="D16" s="553"/>
      <c r="E16" s="553"/>
      <c r="F16" s="553"/>
      <c r="G16" s="553"/>
      <c r="H16" s="554"/>
    </row>
    <row r="17" spans="1:14" ht="20.25" customHeight="1" x14ac:dyDescent="0.25">
      <c r="A17" s="555" t="s">
        <v>47</v>
      </c>
      <c r="B17" s="555"/>
      <c r="C17" s="555"/>
      <c r="D17" s="555"/>
      <c r="E17" s="555"/>
      <c r="F17" s="555"/>
      <c r="G17" s="555"/>
      <c r="H17" s="555"/>
    </row>
    <row r="18" spans="1:14" ht="26.25" customHeight="1" x14ac:dyDescent="0.4">
      <c r="A18" s="52" t="s">
        <v>33</v>
      </c>
      <c r="B18" s="551" t="s">
        <v>5</v>
      </c>
      <c r="C18" s="551"/>
      <c r="D18" s="216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9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56" t="s">
        <v>9</v>
      </c>
      <c r="C20" s="556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56" t="s">
        <v>11</v>
      </c>
      <c r="C21" s="556"/>
      <c r="D21" s="556"/>
      <c r="E21" s="556"/>
      <c r="F21" s="556"/>
      <c r="G21" s="556"/>
      <c r="H21" s="556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51" t="s">
        <v>129</v>
      </c>
      <c r="C26" s="551"/>
    </row>
    <row r="27" spans="1:14" ht="26.25" customHeight="1" x14ac:dyDescent="0.4">
      <c r="A27" s="61" t="s">
        <v>48</v>
      </c>
      <c r="B27" s="549" t="s">
        <v>130</v>
      </c>
      <c r="C27" s="549"/>
    </row>
    <row r="28" spans="1:14" ht="27" customHeight="1" x14ac:dyDescent="0.4">
      <c r="A28" s="61" t="s">
        <v>6</v>
      </c>
      <c r="B28" s="62">
        <v>98.5</v>
      </c>
    </row>
    <row r="29" spans="1:14" s="3" customFormat="1" ht="27" customHeight="1" x14ac:dyDescent="0.4">
      <c r="A29" s="61" t="s">
        <v>49</v>
      </c>
      <c r="B29" s="63">
        <v>0</v>
      </c>
      <c r="C29" s="526" t="s">
        <v>50</v>
      </c>
      <c r="D29" s="527"/>
      <c r="E29" s="527"/>
      <c r="F29" s="527"/>
      <c r="G29" s="528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29" t="s">
        <v>53</v>
      </c>
      <c r="D31" s="530"/>
      <c r="E31" s="530"/>
      <c r="F31" s="530"/>
      <c r="G31" s="530"/>
      <c r="H31" s="531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29" t="s">
        <v>55</v>
      </c>
      <c r="D32" s="530"/>
      <c r="E32" s="530"/>
      <c r="F32" s="530"/>
      <c r="G32" s="530"/>
      <c r="H32" s="531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32" t="s">
        <v>59</v>
      </c>
      <c r="E36" s="550"/>
      <c r="F36" s="532" t="s">
        <v>60</v>
      </c>
      <c r="G36" s="533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264">
        <v>82197066</v>
      </c>
      <c r="E38" s="84">
        <f>IF(ISBLANK(D38),"-",$D$48/$D$45*D38)</f>
        <v>85151834.66279912</v>
      </c>
      <c r="F38" s="264">
        <v>82770896</v>
      </c>
      <c r="G38" s="85">
        <f>IF(ISBLANK(F38),"-",$D$48/$F$45*F38)</f>
        <v>82383692.644570529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7">
        <v>2</v>
      </c>
      <c r="D39" s="269">
        <v>82126146</v>
      </c>
      <c r="E39" s="89">
        <f>IF(ISBLANK(D39),"-",$D$48/$D$45*D39)</f>
        <v>85078365.275044009</v>
      </c>
      <c r="F39" s="269">
        <v>84810761</v>
      </c>
      <c r="G39" s="90">
        <f>IF(ISBLANK(F39),"-",$D$48/$F$45*F39)</f>
        <v>84414015.12889421</v>
      </c>
      <c r="I39" s="534">
        <f>ABS((F43/D43*D42)-F42)/D42</f>
        <v>3.0498127258347676E-3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7">
        <v>3</v>
      </c>
      <c r="D40" s="269">
        <v>81972754</v>
      </c>
      <c r="E40" s="89">
        <f>IF(ISBLANK(D40),"-",$D$48/$D$45*D40)</f>
        <v>84919459.235470831</v>
      </c>
      <c r="F40" s="269">
        <v>88016049</v>
      </c>
      <c r="G40" s="90">
        <f>IF(ISBLANK(F40),"-",$D$48/$F$45*F40)</f>
        <v>87604308.748880267</v>
      </c>
      <c r="I40" s="534"/>
      <c r="L40" s="69"/>
      <c r="M40" s="69"/>
      <c r="N40" s="91"/>
    </row>
    <row r="41" spans="1:14" ht="27" customHeight="1" x14ac:dyDescent="0.4">
      <c r="A41" s="76" t="s">
        <v>69</v>
      </c>
      <c r="B41" s="77">
        <v>1</v>
      </c>
      <c r="C41" s="92">
        <v>4</v>
      </c>
      <c r="D41" s="274"/>
      <c r="E41" s="93" t="str">
        <f>IF(ISBLANK(D41),"-",$D$48/$D$45*D41)</f>
        <v>-</v>
      </c>
      <c r="F41" s="274"/>
      <c r="G41" s="94" t="str">
        <f>IF(ISBLANK(F41),"-",$D$48/$F$45*F41)</f>
        <v>-</v>
      </c>
      <c r="I41" s="95"/>
      <c r="L41" s="69"/>
      <c r="M41" s="69"/>
      <c r="N41" s="91"/>
    </row>
    <row r="42" spans="1:14" ht="27" customHeight="1" x14ac:dyDescent="0.4">
      <c r="A42" s="76" t="s">
        <v>70</v>
      </c>
      <c r="B42" s="77">
        <v>1</v>
      </c>
      <c r="C42" s="96" t="s">
        <v>71</v>
      </c>
      <c r="D42" s="97">
        <f>AVERAGE(D38:D41)</f>
        <v>82098655.333333328</v>
      </c>
      <c r="E42" s="98">
        <f>AVERAGE(E38:E41)</f>
        <v>85049886.391104653</v>
      </c>
      <c r="F42" s="97">
        <f>AVERAGE(F38:F41)</f>
        <v>85199235.333333328</v>
      </c>
      <c r="G42" s="99">
        <f>AVERAGE(G38:G41)</f>
        <v>84800672.174115002</v>
      </c>
      <c r="H42" s="100"/>
    </row>
    <row r="43" spans="1:14" ht="26.25" customHeight="1" x14ac:dyDescent="0.4">
      <c r="A43" s="76" t="s">
        <v>72</v>
      </c>
      <c r="B43" s="77">
        <v>1</v>
      </c>
      <c r="C43" s="101" t="s">
        <v>73</v>
      </c>
      <c r="D43" s="284">
        <v>15.68</v>
      </c>
      <c r="E43" s="91"/>
      <c r="F43" s="102">
        <v>16.32</v>
      </c>
      <c r="H43" s="100"/>
    </row>
    <row r="44" spans="1:14" ht="26.25" customHeight="1" x14ac:dyDescent="0.4">
      <c r="A44" s="76" t="s">
        <v>74</v>
      </c>
      <c r="B44" s="77">
        <v>1</v>
      </c>
      <c r="C44" s="103" t="s">
        <v>75</v>
      </c>
      <c r="D44" s="104">
        <f>D43*$B$34</f>
        <v>15.68</v>
      </c>
      <c r="E44" s="105"/>
      <c r="F44" s="104">
        <f>F43*$B$34</f>
        <v>16.32</v>
      </c>
      <c r="H44" s="100"/>
    </row>
    <row r="45" spans="1:14" ht="19.5" customHeight="1" x14ac:dyDescent="0.3">
      <c r="A45" s="76" t="s">
        <v>76</v>
      </c>
      <c r="B45" s="106">
        <f>(B44/B43)*(B42/B41)*(B40/B39)*(B38/B37)*B36</f>
        <v>100</v>
      </c>
      <c r="C45" s="103" t="s">
        <v>77</v>
      </c>
      <c r="D45" s="107">
        <f>D44*$B$30/100</f>
        <v>15.444800000000001</v>
      </c>
      <c r="E45" s="108"/>
      <c r="F45" s="107">
        <f>F44*$B$30/100</f>
        <v>16.075199999999999</v>
      </c>
      <c r="H45" s="100"/>
    </row>
    <row r="46" spans="1:14" ht="19.5" customHeight="1" x14ac:dyDescent="0.3">
      <c r="A46" s="520" t="s">
        <v>78</v>
      </c>
      <c r="B46" s="521"/>
      <c r="C46" s="103" t="s">
        <v>79</v>
      </c>
      <c r="D46" s="109">
        <f>D45/$B$45</f>
        <v>0.154448</v>
      </c>
      <c r="E46" s="110"/>
      <c r="F46" s="111">
        <f>F45/$B$45</f>
        <v>0.16075199999999998</v>
      </c>
      <c r="H46" s="100"/>
    </row>
    <row r="47" spans="1:14" ht="27" customHeight="1" x14ac:dyDescent="0.4">
      <c r="A47" s="522"/>
      <c r="B47" s="523"/>
      <c r="C47" s="112" t="s">
        <v>80</v>
      </c>
      <c r="D47" s="113">
        <v>0.16</v>
      </c>
      <c r="E47" s="114"/>
      <c r="F47" s="110"/>
      <c r="H47" s="100"/>
    </row>
    <row r="48" spans="1:14" ht="18.75" x14ac:dyDescent="0.3">
      <c r="C48" s="115" t="s">
        <v>81</v>
      </c>
      <c r="D48" s="107">
        <f>D47*$B$45</f>
        <v>16</v>
      </c>
      <c r="F48" s="116"/>
      <c r="H48" s="100"/>
    </row>
    <row r="49" spans="1:12" ht="19.5" customHeight="1" x14ac:dyDescent="0.3">
      <c r="C49" s="117" t="s">
        <v>82</v>
      </c>
      <c r="D49" s="118">
        <f>D48/B34</f>
        <v>16</v>
      </c>
      <c r="F49" s="116"/>
      <c r="H49" s="100"/>
    </row>
    <row r="50" spans="1:12" ht="18.75" x14ac:dyDescent="0.3">
      <c r="C50" s="74" t="s">
        <v>83</v>
      </c>
      <c r="D50" s="119">
        <f>AVERAGE(E38:E41,G38:G41)</f>
        <v>84925279.282609835</v>
      </c>
      <c r="F50" s="120"/>
      <c r="H50" s="100"/>
    </row>
    <row r="51" spans="1:12" ht="18.75" x14ac:dyDescent="0.3">
      <c r="C51" s="76" t="s">
        <v>84</v>
      </c>
      <c r="D51" s="121">
        <f>STDEV(E38:E41,G38:G41)/D50</f>
        <v>1.9684464582388393E-2</v>
      </c>
      <c r="F51" s="120"/>
      <c r="H51" s="100"/>
    </row>
    <row r="52" spans="1:12" ht="19.5" customHeight="1" x14ac:dyDescent="0.3">
      <c r="C52" s="122" t="s">
        <v>20</v>
      </c>
      <c r="D52" s="123">
        <f>COUNT(E38:E41,G38:G41)</f>
        <v>6</v>
      </c>
      <c r="F52" s="120"/>
    </row>
    <row r="54" spans="1:12" ht="18.75" x14ac:dyDescent="0.3">
      <c r="A54" s="124" t="s">
        <v>1</v>
      </c>
      <c r="B54" s="125" t="s">
        <v>85</v>
      </c>
    </row>
    <row r="55" spans="1:12" ht="18.75" x14ac:dyDescent="0.3">
      <c r="A55" s="51" t="s">
        <v>86</v>
      </c>
      <c r="B55" s="126" t="str">
        <f>B21</f>
        <v>Each Tablet contains: Rifampicin 150mg, Isoniazid 75mg</v>
      </c>
    </row>
    <row r="56" spans="1:12" ht="26.25" customHeight="1" x14ac:dyDescent="0.4">
      <c r="A56" s="127" t="s">
        <v>87</v>
      </c>
      <c r="B56" s="128">
        <v>150</v>
      </c>
      <c r="C56" s="51" t="str">
        <f>B20</f>
        <v>Rifampicin, Isoniazid</v>
      </c>
      <c r="H56" s="129"/>
    </row>
    <row r="57" spans="1:12" ht="18.75" x14ac:dyDescent="0.3">
      <c r="A57" s="126" t="s">
        <v>88</v>
      </c>
      <c r="B57" s="217">
        <f>Uniformity!C46</f>
        <v>373.51799999999992</v>
      </c>
      <c r="H57" s="129"/>
    </row>
    <row r="58" spans="1:12" ht="19.5" customHeight="1" x14ac:dyDescent="0.3">
      <c r="H58" s="129"/>
    </row>
    <row r="59" spans="1:12" s="3" customFormat="1" ht="27" customHeight="1" x14ac:dyDescent="0.4">
      <c r="A59" s="74" t="s">
        <v>89</v>
      </c>
      <c r="B59" s="75">
        <v>100</v>
      </c>
      <c r="C59" s="51"/>
      <c r="D59" s="130" t="s">
        <v>90</v>
      </c>
      <c r="E59" s="131" t="s">
        <v>62</v>
      </c>
      <c r="F59" s="131" t="s">
        <v>63</v>
      </c>
      <c r="G59" s="131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537" t="s">
        <v>94</v>
      </c>
      <c r="D60" s="540">
        <v>39.99</v>
      </c>
      <c r="E60" s="132">
        <v>1</v>
      </c>
      <c r="F60" s="133">
        <v>86364162</v>
      </c>
      <c r="G60" s="218">
        <f>IF(ISBLANK(F60),"-",(F60/$D$50*$D$47*$B$68)*($B$57/$D$60))</f>
        <v>151.97658927194578</v>
      </c>
      <c r="H60" s="134">
        <f t="shared" ref="H60:H71" si="0">IF(ISBLANK(F60),"-",G60/$B$56)</f>
        <v>1.013177261812972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538"/>
      <c r="D61" s="541"/>
      <c r="E61" s="135">
        <v>2</v>
      </c>
      <c r="F61" s="88">
        <v>86095606</v>
      </c>
      <c r="G61" s="219">
        <f>IF(ISBLANK(F61),"-",(F61/$D$50*$D$47*$B$68)*($B$57/$D$60))</f>
        <v>151.50400638613587</v>
      </c>
      <c r="H61" s="136">
        <f t="shared" si="0"/>
        <v>1.0100267092409059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38"/>
      <c r="D62" s="541"/>
      <c r="E62" s="135">
        <v>3</v>
      </c>
      <c r="F62" s="137">
        <v>86126200</v>
      </c>
      <c r="G62" s="219">
        <f>IF(ISBLANK(F62),"-",(F62/$D$50*$D$47*$B$68)*($B$57/$D$60))</f>
        <v>151.55784320530378</v>
      </c>
      <c r="H62" s="136">
        <f t="shared" si="0"/>
        <v>1.0103856213686919</v>
      </c>
      <c r="L62" s="64"/>
    </row>
    <row r="63" spans="1:12" ht="27" customHeight="1" x14ac:dyDescent="0.4">
      <c r="A63" s="76" t="s">
        <v>97</v>
      </c>
      <c r="B63" s="77">
        <v>1</v>
      </c>
      <c r="C63" s="548"/>
      <c r="D63" s="542"/>
      <c r="E63" s="138">
        <v>4</v>
      </c>
      <c r="F63" s="139"/>
      <c r="G63" s="219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37" t="s">
        <v>99</v>
      </c>
      <c r="D64" s="540">
        <v>39.22</v>
      </c>
      <c r="E64" s="132">
        <v>1</v>
      </c>
      <c r="F64" s="133">
        <v>84500494</v>
      </c>
      <c r="G64" s="220">
        <f>IF(ISBLANK(F64),"-",(F64/$D$50*$D$47*$B$68)*($B$57/$D$64))</f>
        <v>151.61640435998328</v>
      </c>
      <c r="H64" s="140">
        <f t="shared" si="0"/>
        <v>1.0107760290665553</v>
      </c>
    </row>
    <row r="65" spans="1:8" ht="26.25" customHeight="1" x14ac:dyDescent="0.4">
      <c r="A65" s="76" t="s">
        <v>100</v>
      </c>
      <c r="B65" s="77">
        <v>1</v>
      </c>
      <c r="C65" s="538"/>
      <c r="D65" s="541"/>
      <c r="E65" s="135">
        <v>2</v>
      </c>
      <c r="F65" s="88">
        <v>83886509</v>
      </c>
      <c r="G65" s="221">
        <f>IF(ISBLANK(F65),"-",(F65/$D$50*$D$47*$B$68)*($B$57/$D$64))</f>
        <v>150.51475165211906</v>
      </c>
      <c r="H65" s="141">
        <f t="shared" si="0"/>
        <v>1.0034316776807937</v>
      </c>
    </row>
    <row r="66" spans="1:8" ht="26.25" customHeight="1" x14ac:dyDescent="0.4">
      <c r="A66" s="76" t="s">
        <v>101</v>
      </c>
      <c r="B66" s="77">
        <v>1</v>
      </c>
      <c r="C66" s="538"/>
      <c r="D66" s="541"/>
      <c r="E66" s="135">
        <v>3</v>
      </c>
      <c r="F66" s="88">
        <v>83689780</v>
      </c>
      <c r="G66" s="221">
        <f>IF(ISBLANK(F66),"-",(F66/$D$50*$D$47*$B$68)*($B$57/$D$64))</f>
        <v>150.16176740076855</v>
      </c>
      <c r="H66" s="141">
        <f t="shared" si="0"/>
        <v>1.001078449338457</v>
      </c>
    </row>
    <row r="67" spans="1:8" ht="27" customHeight="1" x14ac:dyDescent="0.4">
      <c r="A67" s="76" t="s">
        <v>102</v>
      </c>
      <c r="B67" s="77">
        <v>1</v>
      </c>
      <c r="C67" s="548"/>
      <c r="D67" s="542"/>
      <c r="E67" s="138">
        <v>4</v>
      </c>
      <c r="F67" s="139"/>
      <c r="G67" s="222" t="str">
        <f>IF(ISBLANK(F67),"-",(F67/$D$50*$D$47*$B$68)*($B$57/$D$64))</f>
        <v>-</v>
      </c>
      <c r="H67" s="142" t="str">
        <f t="shared" si="0"/>
        <v>-</v>
      </c>
    </row>
    <row r="68" spans="1:8" ht="26.25" customHeight="1" x14ac:dyDescent="0.4">
      <c r="A68" s="76" t="s">
        <v>103</v>
      </c>
      <c r="B68" s="143">
        <f>(B67/B66)*(B65/B64)*(B63/B62)*(B61/B60)*B59</f>
        <v>100</v>
      </c>
      <c r="C68" s="537" t="s">
        <v>104</v>
      </c>
      <c r="D68" s="540">
        <v>40.54</v>
      </c>
      <c r="E68" s="132">
        <v>1</v>
      </c>
      <c r="F68" s="133">
        <v>84108755</v>
      </c>
      <c r="G68" s="220">
        <f>IF(ISBLANK(F68),"-",(F68/$D$50*$D$47*$B$68)*($B$57/$D$68))</f>
        <v>145.99971046615047</v>
      </c>
      <c r="H68" s="136">
        <f t="shared" si="0"/>
        <v>0.97333140310766986</v>
      </c>
    </row>
    <row r="69" spans="1:8" ht="27" customHeight="1" x14ac:dyDescent="0.4">
      <c r="A69" s="122" t="s">
        <v>105</v>
      </c>
      <c r="B69" s="144">
        <f>(D47*B68)/B56*B57</f>
        <v>39.841919999999995</v>
      </c>
      <c r="C69" s="538"/>
      <c r="D69" s="541"/>
      <c r="E69" s="135">
        <v>2</v>
      </c>
      <c r="F69" s="88">
        <v>83809759</v>
      </c>
      <c r="G69" s="221">
        <f>IF(ISBLANK(F69),"-",(F69/$D$50*$D$47*$B$68)*($B$57/$D$68))</f>
        <v>145.48069993709751</v>
      </c>
      <c r="H69" s="136">
        <f t="shared" si="0"/>
        <v>0.96987133291398342</v>
      </c>
    </row>
    <row r="70" spans="1:8" ht="26.25" customHeight="1" x14ac:dyDescent="0.4">
      <c r="A70" s="543" t="s">
        <v>78</v>
      </c>
      <c r="B70" s="544"/>
      <c r="C70" s="538"/>
      <c r="D70" s="541"/>
      <c r="E70" s="135">
        <v>3</v>
      </c>
      <c r="F70" s="88">
        <v>86002666</v>
      </c>
      <c r="G70" s="221">
        <f>IF(ISBLANK(F70),"-",(F70/$D$50*$D$47*$B$68)*($B$57/$D$68))</f>
        <v>149.28724524952301</v>
      </c>
      <c r="H70" s="136">
        <f t="shared" si="0"/>
        <v>0.99524830166348677</v>
      </c>
    </row>
    <row r="71" spans="1:8" ht="27" customHeight="1" x14ac:dyDescent="0.4">
      <c r="A71" s="545"/>
      <c r="B71" s="546"/>
      <c r="C71" s="539"/>
      <c r="D71" s="542"/>
      <c r="E71" s="138">
        <v>4</v>
      </c>
      <c r="F71" s="139"/>
      <c r="G71" s="222" t="str">
        <f>IF(ISBLANK(F71),"-",(F71/$D$50*$D$47*$B$68)*($B$57/$D$68))</f>
        <v>-</v>
      </c>
      <c r="H71" s="145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48" t="s">
        <v>71</v>
      </c>
      <c r="G72" s="227">
        <f>AVERAGE(G60:G71)</f>
        <v>149.78877976989193</v>
      </c>
      <c r="H72" s="149">
        <f>AVERAGE(H60:H71)</f>
        <v>0.99859186513261278</v>
      </c>
    </row>
    <row r="73" spans="1:8" ht="26.25" customHeight="1" x14ac:dyDescent="0.4">
      <c r="C73" s="146"/>
      <c r="D73" s="146"/>
      <c r="E73" s="146"/>
      <c r="F73" s="150" t="s">
        <v>84</v>
      </c>
      <c r="G73" s="223">
        <f>STDEV(G60:G71)/G72</f>
        <v>1.6358510988470545E-2</v>
      </c>
      <c r="H73" s="223">
        <f>STDEV(H60:H71)/H72</f>
        <v>1.6358510988470562E-2</v>
      </c>
    </row>
    <row r="74" spans="1:8" ht="27" customHeight="1" x14ac:dyDescent="0.4">
      <c r="A74" s="146"/>
      <c r="B74" s="146"/>
      <c r="C74" s="147"/>
      <c r="D74" s="147"/>
      <c r="E74" s="151"/>
      <c r="F74" s="152" t="s">
        <v>20</v>
      </c>
      <c r="G74" s="153">
        <f>COUNT(G60:G71)</f>
        <v>9</v>
      </c>
      <c r="H74" s="153">
        <f>COUNT(H60:H71)</f>
        <v>9</v>
      </c>
    </row>
    <row r="76" spans="1:8" ht="26.25" customHeight="1" x14ac:dyDescent="0.4">
      <c r="A76" s="60" t="s">
        <v>106</v>
      </c>
      <c r="B76" s="154" t="s">
        <v>107</v>
      </c>
      <c r="C76" s="524" t="str">
        <f>B20</f>
        <v>Rifampicin, Isoniazid</v>
      </c>
      <c r="D76" s="524"/>
      <c r="E76" s="155" t="s">
        <v>108</v>
      </c>
      <c r="F76" s="155"/>
      <c r="G76" s="156">
        <f>H72</f>
        <v>0.99859186513261278</v>
      </c>
      <c r="H76" s="157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47" t="str">
        <f>B26</f>
        <v>RIFAMPICIN</v>
      </c>
      <c r="C79" s="547"/>
    </row>
    <row r="80" spans="1:8" ht="26.25" customHeight="1" x14ac:dyDescent="0.4">
      <c r="A80" s="61" t="s">
        <v>48</v>
      </c>
      <c r="B80" s="547" t="str">
        <f>B27</f>
        <v>R4-1</v>
      </c>
      <c r="C80" s="547"/>
    </row>
    <row r="81" spans="1:12" ht="27" customHeight="1" x14ac:dyDescent="0.4">
      <c r="A81" s="61" t="s">
        <v>6</v>
      </c>
      <c r="B81" s="158">
        <f>B28</f>
        <v>98.5</v>
      </c>
    </row>
    <row r="82" spans="1:12" s="3" customFormat="1" ht="27" customHeight="1" x14ac:dyDescent="0.4">
      <c r="A82" s="61" t="s">
        <v>49</v>
      </c>
      <c r="B82" s="63">
        <v>0</v>
      </c>
      <c r="C82" s="526" t="s">
        <v>50</v>
      </c>
      <c r="D82" s="527"/>
      <c r="E82" s="527"/>
      <c r="F82" s="527"/>
      <c r="G82" s="528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29" t="s">
        <v>111</v>
      </c>
      <c r="D84" s="530"/>
      <c r="E84" s="530"/>
      <c r="F84" s="530"/>
      <c r="G84" s="530"/>
      <c r="H84" s="531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29" t="s">
        <v>112</v>
      </c>
      <c r="D85" s="530"/>
      <c r="E85" s="530"/>
      <c r="F85" s="530"/>
      <c r="G85" s="530"/>
      <c r="H85" s="531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9" t="s">
        <v>59</v>
      </c>
      <c r="E89" s="160"/>
      <c r="F89" s="532" t="s">
        <v>60</v>
      </c>
      <c r="G89" s="533"/>
    </row>
    <row r="90" spans="1:12" ht="27" customHeight="1" x14ac:dyDescent="0.4">
      <c r="A90" s="76" t="s">
        <v>61</v>
      </c>
      <c r="B90" s="77">
        <v>1</v>
      </c>
      <c r="C90" s="161" t="s">
        <v>62</v>
      </c>
      <c r="D90" s="79" t="s">
        <v>63</v>
      </c>
      <c r="E90" s="80" t="s">
        <v>64</v>
      </c>
      <c r="F90" s="79" t="s">
        <v>63</v>
      </c>
      <c r="G90" s="162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63">
        <v>1</v>
      </c>
      <c r="D91" s="264">
        <v>82197066</v>
      </c>
      <c r="E91" s="84">
        <f>IF(ISBLANK(D91),"-",$D$101/$D$98*D91)</f>
        <v>88699827.773749068</v>
      </c>
      <c r="F91" s="264">
        <v>82770896</v>
      </c>
      <c r="G91" s="85">
        <f>IF(ISBLANK(F91),"-",$D$101/$F$98*F91)</f>
        <v>85816346.504760951</v>
      </c>
      <c r="I91" s="86"/>
    </row>
    <row r="92" spans="1:12" ht="26.25" customHeight="1" x14ac:dyDescent="0.4">
      <c r="A92" s="76" t="s">
        <v>67</v>
      </c>
      <c r="B92" s="77">
        <v>1</v>
      </c>
      <c r="C92" s="147">
        <v>2</v>
      </c>
      <c r="D92" s="269">
        <v>82126146</v>
      </c>
      <c r="E92" s="89">
        <f>IF(ISBLANK(D92),"-",$D$101/$D$98*D92)</f>
        <v>88623297.161504179</v>
      </c>
      <c r="F92" s="269">
        <v>84810761</v>
      </c>
      <c r="G92" s="90">
        <f>IF(ISBLANK(F92),"-",$D$101/$F$98*F92)</f>
        <v>87931265.759264782</v>
      </c>
      <c r="I92" s="534">
        <f>ABS((F96/D96*D95)-F95)/D95</f>
        <v>3.0498127258347676E-3</v>
      </c>
    </row>
    <row r="93" spans="1:12" ht="26.25" customHeight="1" x14ac:dyDescent="0.4">
      <c r="A93" s="76" t="s">
        <v>68</v>
      </c>
      <c r="B93" s="77">
        <v>1</v>
      </c>
      <c r="C93" s="147">
        <v>3</v>
      </c>
      <c r="D93" s="269">
        <v>81972754</v>
      </c>
      <c r="E93" s="89">
        <f>IF(ISBLANK(D93),"-",$D$101/$D$98*D93)</f>
        <v>88457770.03694877</v>
      </c>
      <c r="F93" s="269">
        <v>88016049</v>
      </c>
      <c r="G93" s="90">
        <f>IF(ISBLANK(F93),"-",$D$101/$F$98*F93)</f>
        <v>91254488.280083612</v>
      </c>
      <c r="I93" s="534"/>
    </row>
    <row r="94" spans="1:12" ht="27" customHeight="1" x14ac:dyDescent="0.4">
      <c r="A94" s="76" t="s">
        <v>69</v>
      </c>
      <c r="B94" s="77">
        <v>1</v>
      </c>
      <c r="C94" s="164">
        <v>4</v>
      </c>
      <c r="D94" s="274"/>
      <c r="E94" s="93" t="str">
        <f>IF(ISBLANK(D94),"-",$D$101/$D$98*D94)</f>
        <v>-</v>
      </c>
      <c r="F94" s="274"/>
      <c r="G94" s="94" t="str">
        <f>IF(ISBLANK(F94),"-",$D$101/$F$98*F94)</f>
        <v>-</v>
      </c>
      <c r="I94" s="95"/>
    </row>
    <row r="95" spans="1:12" ht="27" customHeight="1" x14ac:dyDescent="0.4">
      <c r="A95" s="76" t="s">
        <v>70</v>
      </c>
      <c r="B95" s="77">
        <v>1</v>
      </c>
      <c r="C95" s="165" t="s">
        <v>71</v>
      </c>
      <c r="D95" s="166">
        <f>AVERAGE(D91:D94)</f>
        <v>82098655.333333328</v>
      </c>
      <c r="E95" s="98">
        <f>AVERAGE(E91:E94)</f>
        <v>88593631.657400683</v>
      </c>
      <c r="F95" s="167">
        <f>AVERAGE(F91:F94)</f>
        <v>85199235.333333328</v>
      </c>
      <c r="G95" s="168">
        <f>AVERAGE(G91:G94)</f>
        <v>88334033.51470311</v>
      </c>
    </row>
    <row r="96" spans="1:12" ht="26.25" customHeight="1" x14ac:dyDescent="0.4">
      <c r="A96" s="76" t="s">
        <v>72</v>
      </c>
      <c r="B96" s="62">
        <v>1</v>
      </c>
      <c r="C96" s="169" t="s">
        <v>113</v>
      </c>
      <c r="D96" s="170">
        <v>15.68</v>
      </c>
      <c r="E96" s="91"/>
      <c r="F96" s="102">
        <v>16.32</v>
      </c>
    </row>
    <row r="97" spans="1:10" ht="26.25" customHeight="1" x14ac:dyDescent="0.4">
      <c r="A97" s="76" t="s">
        <v>74</v>
      </c>
      <c r="B97" s="62">
        <v>1</v>
      </c>
      <c r="C97" s="171" t="s">
        <v>114</v>
      </c>
      <c r="D97" s="172">
        <f>D96*$B$87</f>
        <v>15.68</v>
      </c>
      <c r="E97" s="105"/>
      <c r="F97" s="104">
        <f>F96*$B$87</f>
        <v>16.32</v>
      </c>
    </row>
    <row r="98" spans="1:10" ht="19.5" customHeight="1" x14ac:dyDescent="0.3">
      <c r="A98" s="76" t="s">
        <v>76</v>
      </c>
      <c r="B98" s="173">
        <f>(B97/B96)*(B95/B94)*(B93/B92)*(B91/B90)*B89</f>
        <v>100</v>
      </c>
      <c r="C98" s="171" t="s">
        <v>115</v>
      </c>
      <c r="D98" s="174">
        <f>D97*$B$83/100</f>
        <v>15.444800000000001</v>
      </c>
      <c r="E98" s="108"/>
      <c r="F98" s="107">
        <f>F97*$B$83/100</f>
        <v>16.075199999999999</v>
      </c>
    </row>
    <row r="99" spans="1:10" ht="19.5" customHeight="1" x14ac:dyDescent="0.3">
      <c r="A99" s="520" t="s">
        <v>78</v>
      </c>
      <c r="B99" s="535"/>
      <c r="C99" s="171" t="s">
        <v>116</v>
      </c>
      <c r="D99" s="175">
        <f>D98/$B$98</f>
        <v>0.154448</v>
      </c>
      <c r="E99" s="108"/>
      <c r="F99" s="111">
        <f>F98/$B$98</f>
        <v>0.16075199999999998</v>
      </c>
      <c r="G99" s="176"/>
      <c r="H99" s="100"/>
    </row>
    <row r="100" spans="1:10" ht="19.5" customHeight="1" x14ac:dyDescent="0.3">
      <c r="A100" s="522"/>
      <c r="B100" s="536"/>
      <c r="C100" s="171" t="s">
        <v>80</v>
      </c>
      <c r="D100" s="177">
        <f>$B$56/$B$116</f>
        <v>0.16666666666666666</v>
      </c>
      <c r="F100" s="116"/>
      <c r="G100" s="178"/>
      <c r="H100" s="100"/>
    </row>
    <row r="101" spans="1:10" ht="18.75" x14ac:dyDescent="0.3">
      <c r="C101" s="171" t="s">
        <v>81</v>
      </c>
      <c r="D101" s="172">
        <f>D100*$B$98</f>
        <v>16.666666666666664</v>
      </c>
      <c r="F101" s="116"/>
      <c r="G101" s="176"/>
      <c r="H101" s="100"/>
    </row>
    <row r="102" spans="1:10" ht="19.5" customHeight="1" x14ac:dyDescent="0.3">
      <c r="C102" s="179" t="s">
        <v>82</v>
      </c>
      <c r="D102" s="180">
        <f>D101/B34</f>
        <v>16.666666666666664</v>
      </c>
      <c r="F102" s="120"/>
      <c r="G102" s="176"/>
      <c r="H102" s="100"/>
      <c r="J102" s="181"/>
    </row>
    <row r="103" spans="1:10" ht="18.75" x14ac:dyDescent="0.3">
      <c r="C103" s="182" t="s">
        <v>117</v>
      </c>
      <c r="D103" s="183">
        <f>AVERAGE(E91:E94,G91:G94)</f>
        <v>88463832.586051896</v>
      </c>
      <c r="F103" s="120"/>
      <c r="G103" s="184"/>
      <c r="H103" s="100"/>
      <c r="J103" s="185"/>
    </row>
    <row r="104" spans="1:10" ht="18.75" x14ac:dyDescent="0.3">
      <c r="C104" s="150" t="s">
        <v>84</v>
      </c>
      <c r="D104" s="186">
        <f>STDEV(E91:E94,G91:G94)/D103</f>
        <v>1.9684464582388466E-2</v>
      </c>
      <c r="F104" s="120"/>
      <c r="G104" s="176"/>
      <c r="H104" s="100"/>
      <c r="J104" s="185"/>
    </row>
    <row r="105" spans="1:10" ht="19.5" customHeight="1" x14ac:dyDescent="0.3">
      <c r="C105" s="152" t="s">
        <v>20</v>
      </c>
      <c r="D105" s="187">
        <f>COUNT(E91:E94,G91:G94)</f>
        <v>6</v>
      </c>
      <c r="F105" s="120"/>
      <c r="G105" s="176"/>
      <c r="H105" s="100"/>
      <c r="J105" s="185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4" t="s">
        <v>118</v>
      </c>
      <c r="B107" s="75">
        <v>900</v>
      </c>
      <c r="C107" s="188" t="s">
        <v>119</v>
      </c>
      <c r="D107" s="189" t="s">
        <v>63</v>
      </c>
      <c r="E107" s="190" t="s">
        <v>120</v>
      </c>
      <c r="F107" s="191" t="s">
        <v>121</v>
      </c>
    </row>
    <row r="108" spans="1:10" ht="26.25" customHeight="1" x14ac:dyDescent="0.4">
      <c r="A108" s="76" t="s">
        <v>122</v>
      </c>
      <c r="B108" s="77">
        <v>1</v>
      </c>
      <c r="C108" s="192">
        <v>1</v>
      </c>
      <c r="D108" s="193">
        <v>83764975</v>
      </c>
      <c r="E108" s="224">
        <f t="shared" ref="E108:E113" si="1">IF(ISBLANK(D108),"-",D108/$D$103*$D$100*$B$116)</f>
        <v>142.03257854307665</v>
      </c>
      <c r="F108" s="194">
        <f t="shared" ref="F108:F113" si="2">IF(ISBLANK(D108), "-", E108/$B$56)</f>
        <v>0.94688385695384436</v>
      </c>
    </row>
    <row r="109" spans="1:10" ht="26.25" customHeight="1" x14ac:dyDescent="0.4">
      <c r="A109" s="76" t="s">
        <v>95</v>
      </c>
      <c r="B109" s="77">
        <v>1</v>
      </c>
      <c r="C109" s="192">
        <v>2</v>
      </c>
      <c r="D109" s="193">
        <v>82545124</v>
      </c>
      <c r="E109" s="225">
        <f t="shared" si="1"/>
        <v>139.96418918382057</v>
      </c>
      <c r="F109" s="195">
        <f t="shared" si="2"/>
        <v>0.93309459455880372</v>
      </c>
    </row>
    <row r="110" spans="1:10" ht="26.25" customHeight="1" x14ac:dyDescent="0.4">
      <c r="A110" s="76" t="s">
        <v>96</v>
      </c>
      <c r="B110" s="77">
        <v>1</v>
      </c>
      <c r="C110" s="192">
        <v>3</v>
      </c>
      <c r="D110" s="193">
        <v>83178870</v>
      </c>
      <c r="E110" s="225">
        <f t="shared" si="1"/>
        <v>141.03877409859385</v>
      </c>
      <c r="F110" s="195">
        <f t="shared" si="2"/>
        <v>0.94025849399062567</v>
      </c>
    </row>
    <row r="111" spans="1:10" ht="26.25" customHeight="1" x14ac:dyDescent="0.4">
      <c r="A111" s="76" t="s">
        <v>97</v>
      </c>
      <c r="B111" s="77">
        <v>1</v>
      </c>
      <c r="C111" s="192">
        <v>4</v>
      </c>
      <c r="D111" s="193">
        <v>80816261</v>
      </c>
      <c r="E111" s="225">
        <f t="shared" si="1"/>
        <v>137.03271490309982</v>
      </c>
      <c r="F111" s="195">
        <f t="shared" si="2"/>
        <v>0.91355143268733208</v>
      </c>
    </row>
    <row r="112" spans="1:10" ht="26.25" customHeight="1" x14ac:dyDescent="0.4">
      <c r="A112" s="76" t="s">
        <v>98</v>
      </c>
      <c r="B112" s="77">
        <v>1</v>
      </c>
      <c r="C112" s="192">
        <v>5</v>
      </c>
      <c r="D112" s="193">
        <v>82559188</v>
      </c>
      <c r="E112" s="225">
        <f t="shared" si="1"/>
        <v>139.9880362175555</v>
      </c>
      <c r="F112" s="195">
        <f t="shared" si="2"/>
        <v>0.93325357478370341</v>
      </c>
    </row>
    <row r="113" spans="1:10" ht="26.25" customHeight="1" x14ac:dyDescent="0.4">
      <c r="A113" s="76" t="s">
        <v>100</v>
      </c>
      <c r="B113" s="77">
        <v>1</v>
      </c>
      <c r="C113" s="196">
        <v>6</v>
      </c>
      <c r="D113" s="197">
        <v>80301622</v>
      </c>
      <c r="E113" s="226">
        <f t="shared" si="1"/>
        <v>136.16008879428963</v>
      </c>
      <c r="F113" s="198">
        <f t="shared" si="2"/>
        <v>0.9077339252952642</v>
      </c>
    </row>
    <row r="114" spans="1:10" ht="26.25" customHeight="1" x14ac:dyDescent="0.4">
      <c r="A114" s="76" t="s">
        <v>101</v>
      </c>
      <c r="B114" s="77">
        <v>1</v>
      </c>
      <c r="C114" s="192"/>
      <c r="D114" s="147"/>
      <c r="E114" s="50"/>
      <c r="F114" s="199"/>
    </row>
    <row r="115" spans="1:10" ht="26.25" customHeight="1" x14ac:dyDescent="0.4">
      <c r="A115" s="76" t="s">
        <v>102</v>
      </c>
      <c r="B115" s="77">
        <v>1</v>
      </c>
      <c r="C115" s="192"/>
      <c r="D115" s="200" t="s">
        <v>71</v>
      </c>
      <c r="E115" s="228">
        <f>AVERAGE(E108:E113)</f>
        <v>139.36939695673937</v>
      </c>
      <c r="F115" s="201">
        <f>AVERAGE(F108:F113)</f>
        <v>0.92912931304492885</v>
      </c>
    </row>
    <row r="116" spans="1:10" ht="27" customHeight="1" x14ac:dyDescent="0.4">
      <c r="A116" s="76" t="s">
        <v>103</v>
      </c>
      <c r="B116" s="106">
        <f>(B115/B114)*(B113/B112)*(B111/B110)*(B109/B108)*B107</f>
        <v>900</v>
      </c>
      <c r="C116" s="202"/>
      <c r="D116" s="165" t="s">
        <v>84</v>
      </c>
      <c r="E116" s="203">
        <f>STDEV(E108:E113)/E115</f>
        <v>1.6479676120203998E-2</v>
      </c>
      <c r="F116" s="203">
        <f>STDEV(F108:F113)/F115</f>
        <v>1.6479676120204022E-2</v>
      </c>
      <c r="I116" s="50"/>
    </row>
    <row r="117" spans="1:10" ht="27" customHeight="1" x14ac:dyDescent="0.4">
      <c r="A117" s="520" t="s">
        <v>78</v>
      </c>
      <c r="B117" s="521"/>
      <c r="C117" s="204"/>
      <c r="D117" s="205" t="s">
        <v>20</v>
      </c>
      <c r="E117" s="206">
        <f>COUNT(E108:E113)</f>
        <v>6</v>
      </c>
      <c r="F117" s="206">
        <f>COUNT(F108:F113)</f>
        <v>6</v>
      </c>
      <c r="I117" s="50"/>
      <c r="J117" s="185"/>
    </row>
    <row r="118" spans="1:10" ht="19.5" customHeight="1" x14ac:dyDescent="0.3">
      <c r="A118" s="522"/>
      <c r="B118" s="523"/>
      <c r="C118" s="50"/>
      <c r="D118" s="50"/>
      <c r="E118" s="50"/>
      <c r="F118" s="147"/>
      <c r="G118" s="50"/>
      <c r="H118" s="50"/>
      <c r="I118" s="50"/>
    </row>
    <row r="119" spans="1:10" ht="18.75" x14ac:dyDescent="0.3">
      <c r="A119" s="215"/>
      <c r="B119" s="72"/>
      <c r="C119" s="50"/>
      <c r="D119" s="50"/>
      <c r="E119" s="50"/>
      <c r="F119" s="147"/>
      <c r="G119" s="50"/>
      <c r="H119" s="50"/>
      <c r="I119" s="50"/>
    </row>
    <row r="120" spans="1:10" ht="26.25" customHeight="1" x14ac:dyDescent="0.4">
      <c r="A120" s="60" t="s">
        <v>106</v>
      </c>
      <c r="B120" s="154" t="s">
        <v>123</v>
      </c>
      <c r="C120" s="524" t="str">
        <f>B20</f>
        <v>Rifampicin, Isoniazid</v>
      </c>
      <c r="D120" s="524"/>
      <c r="E120" s="155" t="s">
        <v>124</v>
      </c>
      <c r="F120" s="155"/>
      <c r="G120" s="156">
        <f>F115</f>
        <v>0.92912931304492885</v>
      </c>
      <c r="H120" s="50"/>
      <c r="I120" s="50"/>
    </row>
    <row r="121" spans="1:10" ht="19.5" customHeight="1" x14ac:dyDescent="0.3">
      <c r="A121" s="207"/>
      <c r="B121" s="207"/>
      <c r="C121" s="208"/>
      <c r="D121" s="208"/>
      <c r="E121" s="208"/>
      <c r="F121" s="208"/>
      <c r="G121" s="208"/>
      <c r="H121" s="208"/>
    </row>
    <row r="122" spans="1:10" ht="18.75" x14ac:dyDescent="0.3">
      <c r="B122" s="525" t="s">
        <v>26</v>
      </c>
      <c r="C122" s="525"/>
      <c r="E122" s="161" t="s">
        <v>27</v>
      </c>
      <c r="F122" s="209"/>
      <c r="G122" s="525" t="s">
        <v>28</v>
      </c>
      <c r="H122" s="525"/>
    </row>
    <row r="123" spans="1:10" ht="69.95" customHeight="1" x14ac:dyDescent="0.3">
      <c r="A123" s="210" t="s">
        <v>29</v>
      </c>
      <c r="B123" s="211"/>
      <c r="C123" s="211"/>
      <c r="E123" s="211"/>
      <c r="F123" s="50"/>
      <c r="G123" s="212"/>
      <c r="H123" s="212"/>
    </row>
    <row r="124" spans="1:10" ht="69.95" customHeight="1" x14ac:dyDescent="0.3">
      <c r="A124" s="210" t="s">
        <v>30</v>
      </c>
      <c r="B124" s="213"/>
      <c r="C124" s="213"/>
      <c r="E124" s="213"/>
      <c r="F124" s="50"/>
      <c r="G124" s="214"/>
      <c r="H124" s="214"/>
    </row>
    <row r="125" spans="1:10" ht="18.75" x14ac:dyDescent="0.3">
      <c r="A125" s="146"/>
      <c r="B125" s="146"/>
      <c r="C125" s="147"/>
      <c r="D125" s="147"/>
      <c r="E125" s="147"/>
      <c r="F125" s="151"/>
      <c r="G125" s="147"/>
      <c r="H125" s="147"/>
      <c r="I125" s="50"/>
    </row>
    <row r="126" spans="1:10" ht="18.75" x14ac:dyDescent="0.3">
      <c r="A126" s="146"/>
      <c r="B126" s="146"/>
      <c r="C126" s="147"/>
      <c r="D126" s="147"/>
      <c r="E126" s="147"/>
      <c r="F126" s="151"/>
      <c r="G126" s="147"/>
      <c r="H126" s="147"/>
      <c r="I126" s="50"/>
    </row>
    <row r="127" spans="1:10" ht="18.75" x14ac:dyDescent="0.3">
      <c r="A127" s="146"/>
      <c r="B127" s="146"/>
      <c r="C127" s="147"/>
      <c r="D127" s="147"/>
      <c r="E127" s="147"/>
      <c r="F127" s="151"/>
      <c r="G127" s="147"/>
      <c r="H127" s="147"/>
      <c r="I127" s="50"/>
    </row>
    <row r="128" spans="1:10" ht="18.75" x14ac:dyDescent="0.3">
      <c r="A128" s="146"/>
      <c r="B128" s="146"/>
      <c r="C128" s="147"/>
      <c r="D128" s="147"/>
      <c r="E128" s="147"/>
      <c r="F128" s="151"/>
      <c r="G128" s="147"/>
      <c r="H128" s="147"/>
      <c r="I128" s="50"/>
    </row>
    <row r="129" spans="1:9" ht="18.75" x14ac:dyDescent="0.3">
      <c r="A129" s="146"/>
      <c r="B129" s="146"/>
      <c r="C129" s="147"/>
      <c r="D129" s="147"/>
      <c r="E129" s="147"/>
      <c r="F129" s="151"/>
      <c r="G129" s="147"/>
      <c r="H129" s="147"/>
      <c r="I129" s="50"/>
    </row>
    <row r="130" spans="1:9" ht="18.75" x14ac:dyDescent="0.3">
      <c r="A130" s="146"/>
      <c r="B130" s="146"/>
      <c r="C130" s="147"/>
      <c r="D130" s="147"/>
      <c r="E130" s="147"/>
      <c r="F130" s="151"/>
      <c r="G130" s="147"/>
      <c r="H130" s="147"/>
      <c r="I130" s="50"/>
    </row>
    <row r="131" spans="1:9" ht="18.75" x14ac:dyDescent="0.3">
      <c r="A131" s="146"/>
      <c r="B131" s="146"/>
      <c r="C131" s="147"/>
      <c r="D131" s="147"/>
      <c r="E131" s="147"/>
      <c r="F131" s="151"/>
      <c r="G131" s="147"/>
      <c r="H131" s="147"/>
      <c r="I131" s="50"/>
    </row>
    <row r="132" spans="1:9" ht="18.75" x14ac:dyDescent="0.3">
      <c r="A132" s="146"/>
      <c r="B132" s="146"/>
      <c r="C132" s="147"/>
      <c r="D132" s="147"/>
      <c r="E132" s="147"/>
      <c r="F132" s="151"/>
      <c r="G132" s="147"/>
      <c r="H132" s="147"/>
      <c r="I132" s="50"/>
    </row>
    <row r="133" spans="1:9" ht="18.75" x14ac:dyDescent="0.3">
      <c r="A133" s="146"/>
      <c r="B133" s="146"/>
      <c r="C133" s="147"/>
      <c r="D133" s="147"/>
      <c r="E133" s="147"/>
      <c r="F133" s="151"/>
      <c r="G133" s="147"/>
      <c r="H133" s="147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27" zoomScale="40" zoomScaleNormal="40" zoomScaleSheetLayoutView="40" zoomScalePageLayoutView="44" workbookViewId="0">
      <selection activeCell="F66" sqref="F6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8" t="s">
        <v>45</v>
      </c>
      <c r="B1" s="518"/>
      <c r="C1" s="518"/>
      <c r="D1" s="518"/>
      <c r="E1" s="518"/>
      <c r="F1" s="518"/>
      <c r="G1" s="518"/>
      <c r="H1" s="518"/>
      <c r="I1" s="518"/>
    </row>
    <row r="2" spans="1:9" ht="18.75" customHeight="1" x14ac:dyDescent="0.25">
      <c r="A2" s="518"/>
      <c r="B2" s="518"/>
      <c r="C2" s="518"/>
      <c r="D2" s="518"/>
      <c r="E2" s="518"/>
      <c r="F2" s="518"/>
      <c r="G2" s="518"/>
      <c r="H2" s="518"/>
      <c r="I2" s="518"/>
    </row>
    <row r="3" spans="1:9" ht="18.75" customHeight="1" x14ac:dyDescent="0.25">
      <c r="A3" s="518"/>
      <c r="B3" s="518"/>
      <c r="C3" s="518"/>
      <c r="D3" s="518"/>
      <c r="E3" s="518"/>
      <c r="F3" s="518"/>
      <c r="G3" s="518"/>
      <c r="H3" s="518"/>
      <c r="I3" s="518"/>
    </row>
    <row r="4" spans="1:9" ht="18.75" customHeight="1" x14ac:dyDescent="0.25">
      <c r="A4" s="518"/>
      <c r="B4" s="518"/>
      <c r="C4" s="518"/>
      <c r="D4" s="518"/>
      <c r="E4" s="518"/>
      <c r="F4" s="518"/>
      <c r="G4" s="518"/>
      <c r="H4" s="518"/>
      <c r="I4" s="518"/>
    </row>
    <row r="5" spans="1:9" ht="18.75" customHeight="1" x14ac:dyDescent="0.25">
      <c r="A5" s="518"/>
      <c r="B5" s="518"/>
      <c r="C5" s="518"/>
      <c r="D5" s="518"/>
      <c r="E5" s="518"/>
      <c r="F5" s="518"/>
      <c r="G5" s="518"/>
      <c r="H5" s="518"/>
      <c r="I5" s="518"/>
    </row>
    <row r="6" spans="1:9" ht="18.75" customHeight="1" x14ac:dyDescent="0.25">
      <c r="A6" s="518"/>
      <c r="B6" s="518"/>
      <c r="C6" s="518"/>
      <c r="D6" s="518"/>
      <c r="E6" s="518"/>
      <c r="F6" s="518"/>
      <c r="G6" s="518"/>
      <c r="H6" s="518"/>
      <c r="I6" s="518"/>
    </row>
    <row r="7" spans="1:9" ht="18.75" customHeight="1" x14ac:dyDescent="0.25">
      <c r="A7" s="518"/>
      <c r="B7" s="518"/>
      <c r="C7" s="518"/>
      <c r="D7" s="518"/>
      <c r="E7" s="518"/>
      <c r="F7" s="518"/>
      <c r="G7" s="518"/>
      <c r="H7" s="518"/>
      <c r="I7" s="518"/>
    </row>
    <row r="8" spans="1:9" x14ac:dyDescent="0.25">
      <c r="A8" s="519" t="s">
        <v>46</v>
      </c>
      <c r="B8" s="519"/>
      <c r="C8" s="519"/>
      <c r="D8" s="519"/>
      <c r="E8" s="519"/>
      <c r="F8" s="519"/>
      <c r="G8" s="519"/>
      <c r="H8" s="519"/>
      <c r="I8" s="519"/>
    </row>
    <row r="9" spans="1:9" x14ac:dyDescent="0.25">
      <c r="A9" s="519"/>
      <c r="B9" s="519"/>
      <c r="C9" s="519"/>
      <c r="D9" s="519"/>
      <c r="E9" s="519"/>
      <c r="F9" s="519"/>
      <c r="G9" s="519"/>
      <c r="H9" s="519"/>
      <c r="I9" s="519"/>
    </row>
    <row r="10" spans="1:9" x14ac:dyDescent="0.25">
      <c r="A10" s="519"/>
      <c r="B10" s="519"/>
      <c r="C10" s="519"/>
      <c r="D10" s="519"/>
      <c r="E10" s="519"/>
      <c r="F10" s="519"/>
      <c r="G10" s="519"/>
      <c r="H10" s="519"/>
      <c r="I10" s="519"/>
    </row>
    <row r="11" spans="1:9" x14ac:dyDescent="0.25">
      <c r="A11" s="519"/>
      <c r="B11" s="519"/>
      <c r="C11" s="519"/>
      <c r="D11" s="519"/>
      <c r="E11" s="519"/>
      <c r="F11" s="519"/>
      <c r="G11" s="519"/>
      <c r="H11" s="519"/>
      <c r="I11" s="519"/>
    </row>
    <row r="12" spans="1:9" x14ac:dyDescent="0.25">
      <c r="A12" s="519"/>
      <c r="B12" s="519"/>
      <c r="C12" s="519"/>
      <c r="D12" s="519"/>
      <c r="E12" s="519"/>
      <c r="F12" s="519"/>
      <c r="G12" s="519"/>
      <c r="H12" s="519"/>
      <c r="I12" s="519"/>
    </row>
    <row r="13" spans="1:9" x14ac:dyDescent="0.25">
      <c r="A13" s="519"/>
      <c r="B13" s="519"/>
      <c r="C13" s="519"/>
      <c r="D13" s="519"/>
      <c r="E13" s="519"/>
      <c r="F13" s="519"/>
      <c r="G13" s="519"/>
      <c r="H13" s="519"/>
      <c r="I13" s="519"/>
    </row>
    <row r="14" spans="1:9" x14ac:dyDescent="0.25">
      <c r="A14" s="519"/>
      <c r="B14" s="519"/>
      <c r="C14" s="519"/>
      <c r="D14" s="519"/>
      <c r="E14" s="519"/>
      <c r="F14" s="519"/>
      <c r="G14" s="519"/>
      <c r="H14" s="519"/>
      <c r="I14" s="519"/>
    </row>
    <row r="15" spans="1:9" ht="19.5" customHeight="1" x14ac:dyDescent="0.3">
      <c r="A15" s="230"/>
    </row>
    <row r="16" spans="1:9" ht="19.5" customHeight="1" x14ac:dyDescent="0.3">
      <c r="A16" s="552" t="s">
        <v>31</v>
      </c>
      <c r="B16" s="553"/>
      <c r="C16" s="553"/>
      <c r="D16" s="553"/>
      <c r="E16" s="553"/>
      <c r="F16" s="553"/>
      <c r="G16" s="553"/>
      <c r="H16" s="554"/>
    </row>
    <row r="17" spans="1:14" ht="20.25" customHeight="1" x14ac:dyDescent="0.25">
      <c r="A17" s="555" t="s">
        <v>47</v>
      </c>
      <c r="B17" s="555"/>
      <c r="C17" s="555"/>
      <c r="D17" s="555"/>
      <c r="E17" s="555"/>
      <c r="F17" s="555"/>
      <c r="G17" s="555"/>
      <c r="H17" s="555"/>
    </row>
    <row r="18" spans="1:14" ht="26.25" customHeight="1" x14ac:dyDescent="0.4">
      <c r="A18" s="232" t="s">
        <v>33</v>
      </c>
      <c r="B18" s="551" t="s">
        <v>5</v>
      </c>
      <c r="C18" s="551"/>
      <c r="D18" s="398"/>
      <c r="E18" s="233"/>
      <c r="F18" s="234"/>
      <c r="G18" s="234"/>
      <c r="H18" s="234"/>
    </row>
    <row r="19" spans="1:14" ht="26.25" customHeight="1" x14ac:dyDescent="0.4">
      <c r="A19" s="232" t="s">
        <v>34</v>
      </c>
      <c r="B19" s="235" t="s">
        <v>7</v>
      </c>
      <c r="C19" s="411">
        <v>29</v>
      </c>
      <c r="D19" s="234"/>
      <c r="E19" s="234"/>
      <c r="F19" s="234"/>
      <c r="G19" s="234"/>
      <c r="H19" s="234"/>
    </row>
    <row r="20" spans="1:14" ht="26.25" customHeight="1" x14ac:dyDescent="0.4">
      <c r="A20" s="232" t="s">
        <v>35</v>
      </c>
      <c r="B20" s="556" t="s">
        <v>9</v>
      </c>
      <c r="C20" s="556"/>
      <c r="D20" s="234"/>
      <c r="E20" s="234"/>
      <c r="F20" s="234"/>
      <c r="G20" s="234"/>
      <c r="H20" s="234"/>
    </row>
    <row r="21" spans="1:14" ht="26.25" customHeight="1" x14ac:dyDescent="0.4">
      <c r="A21" s="232" t="s">
        <v>36</v>
      </c>
      <c r="B21" s="556" t="s">
        <v>11</v>
      </c>
      <c r="C21" s="556"/>
      <c r="D21" s="556"/>
      <c r="E21" s="556"/>
      <c r="F21" s="556"/>
      <c r="G21" s="556"/>
      <c r="H21" s="556"/>
      <c r="I21" s="236"/>
    </row>
    <row r="22" spans="1:14" ht="26.25" customHeight="1" x14ac:dyDescent="0.4">
      <c r="A22" s="232" t="s">
        <v>37</v>
      </c>
      <c r="B22" s="237" t="s">
        <v>12</v>
      </c>
      <c r="C22" s="234"/>
      <c r="D22" s="234"/>
      <c r="E22" s="234"/>
      <c r="F22" s="234"/>
      <c r="G22" s="234"/>
      <c r="H22" s="234"/>
    </row>
    <row r="23" spans="1:14" ht="26.25" customHeight="1" x14ac:dyDescent="0.4">
      <c r="A23" s="232" t="s">
        <v>38</v>
      </c>
      <c r="B23" s="237"/>
      <c r="C23" s="234"/>
      <c r="D23" s="234"/>
      <c r="E23" s="234"/>
      <c r="F23" s="234"/>
      <c r="G23" s="234"/>
      <c r="H23" s="234"/>
    </row>
    <row r="24" spans="1:14" ht="18.75" x14ac:dyDescent="0.3">
      <c r="A24" s="232"/>
      <c r="B24" s="238"/>
    </row>
    <row r="25" spans="1:14" ht="18.75" x14ac:dyDescent="0.3">
      <c r="A25" s="239" t="s">
        <v>1</v>
      </c>
      <c r="B25" s="238"/>
    </row>
    <row r="26" spans="1:14" ht="26.25" customHeight="1" x14ac:dyDescent="0.4">
      <c r="A26" s="240" t="s">
        <v>4</v>
      </c>
      <c r="B26" s="551" t="s">
        <v>131</v>
      </c>
      <c r="C26" s="551"/>
    </row>
    <row r="27" spans="1:14" ht="26.25" customHeight="1" x14ac:dyDescent="0.4">
      <c r="A27" s="241" t="s">
        <v>48</v>
      </c>
      <c r="B27" s="549" t="s">
        <v>132</v>
      </c>
      <c r="C27" s="549"/>
    </row>
    <row r="28" spans="1:14" ht="27" customHeight="1" x14ac:dyDescent="0.4">
      <c r="A28" s="241" t="s">
        <v>6</v>
      </c>
      <c r="B28" s="242">
        <v>99.9</v>
      </c>
    </row>
    <row r="29" spans="1:14" s="3" customFormat="1" ht="27" customHeight="1" x14ac:dyDescent="0.4">
      <c r="A29" s="241" t="s">
        <v>49</v>
      </c>
      <c r="B29" s="243">
        <v>0</v>
      </c>
      <c r="C29" s="526" t="s">
        <v>50</v>
      </c>
      <c r="D29" s="527"/>
      <c r="E29" s="527"/>
      <c r="F29" s="527"/>
      <c r="G29" s="528"/>
      <c r="I29" s="244"/>
      <c r="J29" s="244"/>
      <c r="K29" s="244"/>
      <c r="L29" s="244"/>
    </row>
    <row r="30" spans="1:14" s="3" customFormat="1" ht="19.5" customHeight="1" x14ac:dyDescent="0.3">
      <c r="A30" s="241" t="s">
        <v>51</v>
      </c>
      <c r="B30" s="245">
        <f>B28-B29</f>
        <v>99.9</v>
      </c>
      <c r="C30" s="246"/>
      <c r="D30" s="246"/>
      <c r="E30" s="246"/>
      <c r="F30" s="246"/>
      <c r="G30" s="247"/>
      <c r="I30" s="244"/>
      <c r="J30" s="244"/>
      <c r="K30" s="244"/>
      <c r="L30" s="244"/>
    </row>
    <row r="31" spans="1:14" s="3" customFormat="1" ht="27" customHeight="1" x14ac:dyDescent="0.4">
      <c r="A31" s="241" t="s">
        <v>52</v>
      </c>
      <c r="B31" s="248">
        <v>1</v>
      </c>
      <c r="C31" s="529" t="s">
        <v>53</v>
      </c>
      <c r="D31" s="530"/>
      <c r="E31" s="530"/>
      <c r="F31" s="530"/>
      <c r="G31" s="530"/>
      <c r="H31" s="531"/>
      <c r="I31" s="244"/>
      <c r="J31" s="244"/>
      <c r="K31" s="244"/>
      <c r="L31" s="244"/>
    </row>
    <row r="32" spans="1:14" s="3" customFormat="1" ht="27" customHeight="1" x14ac:dyDescent="0.4">
      <c r="A32" s="241" t="s">
        <v>54</v>
      </c>
      <c r="B32" s="248">
        <v>1</v>
      </c>
      <c r="C32" s="529" t="s">
        <v>55</v>
      </c>
      <c r="D32" s="530"/>
      <c r="E32" s="530"/>
      <c r="F32" s="530"/>
      <c r="G32" s="530"/>
      <c r="H32" s="531"/>
      <c r="I32" s="244"/>
      <c r="J32" s="244"/>
      <c r="K32" s="244"/>
      <c r="L32" s="249"/>
      <c r="M32" s="249"/>
      <c r="N32" s="250"/>
    </row>
    <row r="33" spans="1:14" s="3" customFormat="1" ht="17.25" customHeight="1" x14ac:dyDescent="0.3">
      <c r="A33" s="241"/>
      <c r="B33" s="251"/>
      <c r="C33" s="252"/>
      <c r="D33" s="252"/>
      <c r="E33" s="252"/>
      <c r="F33" s="252"/>
      <c r="G33" s="252"/>
      <c r="H33" s="252"/>
      <c r="I33" s="244"/>
      <c r="J33" s="244"/>
      <c r="K33" s="244"/>
      <c r="L33" s="249"/>
      <c r="M33" s="249"/>
      <c r="N33" s="250"/>
    </row>
    <row r="34" spans="1:14" s="3" customFormat="1" ht="18.75" x14ac:dyDescent="0.3">
      <c r="A34" s="241" t="s">
        <v>56</v>
      </c>
      <c r="B34" s="253">
        <f>B31/B32</f>
        <v>1</v>
      </c>
      <c r="C34" s="231" t="s">
        <v>57</v>
      </c>
      <c r="D34" s="231"/>
      <c r="E34" s="231"/>
      <c r="F34" s="231"/>
      <c r="G34" s="231"/>
      <c r="I34" s="244"/>
      <c r="J34" s="244"/>
      <c r="K34" s="244"/>
      <c r="L34" s="249"/>
      <c r="M34" s="249"/>
      <c r="N34" s="250"/>
    </row>
    <row r="35" spans="1:14" s="3" customFormat="1" ht="19.5" customHeight="1" x14ac:dyDescent="0.3">
      <c r="A35" s="241"/>
      <c r="B35" s="245"/>
      <c r="G35" s="231"/>
      <c r="I35" s="244"/>
      <c r="J35" s="244"/>
      <c r="K35" s="244"/>
      <c r="L35" s="249"/>
      <c r="M35" s="249"/>
      <c r="N35" s="250"/>
    </row>
    <row r="36" spans="1:14" s="3" customFormat="1" ht="27" customHeight="1" x14ac:dyDescent="0.4">
      <c r="A36" s="254" t="s">
        <v>58</v>
      </c>
      <c r="B36" s="255">
        <v>100</v>
      </c>
      <c r="C36" s="231"/>
      <c r="D36" s="532" t="s">
        <v>59</v>
      </c>
      <c r="E36" s="550"/>
      <c r="F36" s="532" t="s">
        <v>60</v>
      </c>
      <c r="G36" s="533"/>
      <c r="J36" s="244"/>
      <c r="K36" s="244"/>
      <c r="L36" s="249"/>
      <c r="M36" s="249"/>
      <c r="N36" s="250"/>
    </row>
    <row r="37" spans="1:14" s="3" customFormat="1" ht="27" customHeight="1" x14ac:dyDescent="0.4">
      <c r="A37" s="256" t="s">
        <v>61</v>
      </c>
      <c r="B37" s="257">
        <v>1</v>
      </c>
      <c r="C37" s="258" t="s">
        <v>62</v>
      </c>
      <c r="D37" s="259" t="s">
        <v>63</v>
      </c>
      <c r="E37" s="260" t="s">
        <v>64</v>
      </c>
      <c r="F37" s="259" t="s">
        <v>63</v>
      </c>
      <c r="G37" s="261" t="s">
        <v>64</v>
      </c>
      <c r="I37" s="262" t="s">
        <v>65</v>
      </c>
      <c r="J37" s="244"/>
      <c r="K37" s="244"/>
      <c r="L37" s="249"/>
      <c r="M37" s="249"/>
      <c r="N37" s="250"/>
    </row>
    <row r="38" spans="1:14" s="3" customFormat="1" ht="26.25" customHeight="1" x14ac:dyDescent="0.4">
      <c r="A38" s="256" t="s">
        <v>66</v>
      </c>
      <c r="B38" s="257">
        <v>1</v>
      </c>
      <c r="C38" s="263">
        <v>1</v>
      </c>
      <c r="D38" s="264">
        <v>40727802</v>
      </c>
      <c r="E38" s="265">
        <f>IF(ISBLANK(D38),"-",$D$48/$D$45*D38)</f>
        <v>30339401.354843214</v>
      </c>
      <c r="F38" s="264">
        <v>46514643</v>
      </c>
      <c r="G38" s="266">
        <f>IF(ISBLANK(F38),"-",$D$48/$F$45*F38)</f>
        <v>30682836.378388271</v>
      </c>
      <c r="I38" s="267"/>
      <c r="J38" s="244"/>
      <c r="K38" s="244"/>
      <c r="L38" s="249"/>
      <c r="M38" s="249"/>
      <c r="N38" s="250"/>
    </row>
    <row r="39" spans="1:14" s="3" customFormat="1" ht="26.25" customHeight="1" x14ac:dyDescent="0.4">
      <c r="A39" s="256" t="s">
        <v>67</v>
      </c>
      <c r="B39" s="257">
        <v>1</v>
      </c>
      <c r="C39" s="268">
        <v>2</v>
      </c>
      <c r="D39" s="269">
        <v>40720577</v>
      </c>
      <c r="E39" s="270">
        <f>IF(ISBLANK(D39),"-",$D$48/$D$45*D39)</f>
        <v>30334019.228530854</v>
      </c>
      <c r="F39" s="269">
        <v>46431468</v>
      </c>
      <c r="G39" s="271">
        <f>IF(ISBLANK(F39),"-",$D$48/$F$45*F39)</f>
        <v>30627970.969321873</v>
      </c>
      <c r="I39" s="534">
        <f>ABS((F43/D43*D42)-F42)/D42</f>
        <v>9.3393929967933217E-3</v>
      </c>
      <c r="J39" s="244"/>
      <c r="K39" s="244"/>
      <c r="L39" s="249"/>
      <c r="M39" s="249"/>
      <c r="N39" s="250"/>
    </row>
    <row r="40" spans="1:14" ht="26.25" customHeight="1" x14ac:dyDescent="0.4">
      <c r="A40" s="256" t="s">
        <v>68</v>
      </c>
      <c r="B40" s="257">
        <v>1</v>
      </c>
      <c r="C40" s="268">
        <v>3</v>
      </c>
      <c r="D40" s="269">
        <v>40724241</v>
      </c>
      <c r="E40" s="270">
        <f>IF(ISBLANK(D40),"-",$D$48/$D$45*D40)</f>
        <v>30336748.655632373</v>
      </c>
      <c r="F40" s="269">
        <v>46164731</v>
      </c>
      <c r="G40" s="271">
        <f>IF(ISBLANK(F40),"-",$D$48/$F$45*F40)</f>
        <v>30452021.049055643</v>
      </c>
      <c r="I40" s="534"/>
      <c r="L40" s="249"/>
      <c r="M40" s="249"/>
      <c r="N40" s="272"/>
    </row>
    <row r="41" spans="1:14" ht="27" customHeight="1" x14ac:dyDescent="0.4">
      <c r="A41" s="256" t="s">
        <v>69</v>
      </c>
      <c r="B41" s="257">
        <v>1</v>
      </c>
      <c r="C41" s="273">
        <v>4</v>
      </c>
      <c r="D41" s="274"/>
      <c r="E41" s="275" t="str">
        <f>IF(ISBLANK(D41),"-",$D$48/$D$45*D41)</f>
        <v>-</v>
      </c>
      <c r="F41" s="274"/>
      <c r="G41" s="276" t="str">
        <f>IF(ISBLANK(F41),"-",$D$48/$F$45*F41)</f>
        <v>-</v>
      </c>
      <c r="I41" s="277"/>
      <c r="L41" s="249"/>
      <c r="M41" s="249"/>
      <c r="N41" s="272"/>
    </row>
    <row r="42" spans="1:14" ht="27" customHeight="1" x14ac:dyDescent="0.4">
      <c r="A42" s="256" t="s">
        <v>70</v>
      </c>
      <c r="B42" s="257">
        <v>1</v>
      </c>
      <c r="C42" s="278" t="s">
        <v>71</v>
      </c>
      <c r="D42" s="279">
        <f>AVERAGE(D38:D41)</f>
        <v>40724206.666666664</v>
      </c>
      <c r="E42" s="280">
        <f>AVERAGE(E38:E41)</f>
        <v>30336723.079668816</v>
      </c>
      <c r="F42" s="279">
        <f>AVERAGE(F38:F41)</f>
        <v>46370280.666666664</v>
      </c>
      <c r="G42" s="281">
        <f>AVERAGE(G38:G41)</f>
        <v>30587609.465588599</v>
      </c>
      <c r="H42" s="282"/>
    </row>
    <row r="43" spans="1:14" ht="26.25" customHeight="1" x14ac:dyDescent="0.4">
      <c r="A43" s="256" t="s">
        <v>72</v>
      </c>
      <c r="B43" s="257">
        <v>1</v>
      </c>
      <c r="C43" s="283" t="s">
        <v>73</v>
      </c>
      <c r="D43" s="284">
        <v>10.75</v>
      </c>
      <c r="E43" s="272"/>
      <c r="F43" s="284">
        <v>12.14</v>
      </c>
      <c r="H43" s="282"/>
    </row>
    <row r="44" spans="1:14" ht="26.25" customHeight="1" x14ac:dyDescent="0.4">
      <c r="A44" s="256" t="s">
        <v>74</v>
      </c>
      <c r="B44" s="257">
        <v>1</v>
      </c>
      <c r="C44" s="285" t="s">
        <v>75</v>
      </c>
      <c r="D44" s="286">
        <f>D43*$B$34</f>
        <v>10.75</v>
      </c>
      <c r="E44" s="287"/>
      <c r="F44" s="286">
        <f>F43*$B$34</f>
        <v>12.14</v>
      </c>
      <c r="H44" s="282"/>
    </row>
    <row r="45" spans="1:14" ht="19.5" customHeight="1" x14ac:dyDescent="0.3">
      <c r="A45" s="256" t="s">
        <v>76</v>
      </c>
      <c r="B45" s="288">
        <f>(B44/B43)*(B42/B41)*(B40/B39)*(B38/B37)*B36</f>
        <v>100</v>
      </c>
      <c r="C45" s="285" t="s">
        <v>77</v>
      </c>
      <c r="D45" s="289">
        <f>D44*$B$30/100</f>
        <v>10.73925</v>
      </c>
      <c r="E45" s="290"/>
      <c r="F45" s="289">
        <f>F44*$B$30/100</f>
        <v>12.12786</v>
      </c>
      <c r="H45" s="282"/>
    </row>
    <row r="46" spans="1:14" ht="19.5" customHeight="1" x14ac:dyDescent="0.3">
      <c r="A46" s="520" t="s">
        <v>78</v>
      </c>
      <c r="B46" s="521"/>
      <c r="C46" s="285" t="s">
        <v>79</v>
      </c>
      <c r="D46" s="291">
        <f>D45/$B$45</f>
        <v>0.1073925</v>
      </c>
      <c r="E46" s="292"/>
      <c r="F46" s="293">
        <f>F45/$B$45</f>
        <v>0.1212786</v>
      </c>
      <c r="H46" s="282"/>
    </row>
    <row r="47" spans="1:14" ht="27" customHeight="1" x14ac:dyDescent="0.4">
      <c r="A47" s="522"/>
      <c r="B47" s="523"/>
      <c r="C47" s="294" t="s">
        <v>80</v>
      </c>
      <c r="D47" s="295">
        <v>0.08</v>
      </c>
      <c r="E47" s="296"/>
      <c r="F47" s="292"/>
      <c r="H47" s="282"/>
    </row>
    <row r="48" spans="1:14" ht="18.75" x14ac:dyDescent="0.3">
      <c r="C48" s="297" t="s">
        <v>81</v>
      </c>
      <c r="D48" s="289">
        <f>D47*$B$45</f>
        <v>8</v>
      </c>
      <c r="F48" s="298"/>
      <c r="H48" s="282"/>
    </row>
    <row r="49" spans="1:12" ht="19.5" customHeight="1" x14ac:dyDescent="0.3">
      <c r="C49" s="299" t="s">
        <v>82</v>
      </c>
      <c r="D49" s="300">
        <f>D48/B34</f>
        <v>8</v>
      </c>
      <c r="F49" s="298"/>
      <c r="H49" s="282"/>
    </row>
    <row r="50" spans="1:12" ht="18.75" x14ac:dyDescent="0.3">
      <c r="C50" s="254" t="s">
        <v>83</v>
      </c>
      <c r="D50" s="301">
        <f>AVERAGE(E38:E41,G38:G41)</f>
        <v>30462166.272628706</v>
      </c>
      <c r="F50" s="302"/>
      <c r="H50" s="282"/>
    </row>
    <row r="51" spans="1:12" ht="18.75" x14ac:dyDescent="0.3">
      <c r="C51" s="256" t="s">
        <v>84</v>
      </c>
      <c r="D51" s="303">
        <f>STDEV(E38:E41,G38:G41)/D50</f>
        <v>5.1595115889509083E-3</v>
      </c>
      <c r="F51" s="302"/>
      <c r="H51" s="282"/>
    </row>
    <row r="52" spans="1:12" ht="19.5" customHeight="1" x14ac:dyDescent="0.3">
      <c r="C52" s="304" t="s">
        <v>20</v>
      </c>
      <c r="D52" s="305">
        <f>COUNT(E38:E41,G38:G41)</f>
        <v>6</v>
      </c>
      <c r="F52" s="302"/>
    </row>
    <row r="54" spans="1:12" ht="18.75" x14ac:dyDescent="0.3">
      <c r="A54" s="306" t="s">
        <v>1</v>
      </c>
      <c r="B54" s="307" t="s">
        <v>85</v>
      </c>
    </row>
    <row r="55" spans="1:12" ht="18.75" x14ac:dyDescent="0.3">
      <c r="A55" s="231" t="s">
        <v>86</v>
      </c>
      <c r="B55" s="308" t="str">
        <f>B21</f>
        <v>Each Tablet contains: Rifampicin 150mg, Isoniazid 75mg</v>
      </c>
    </row>
    <row r="56" spans="1:12" ht="26.25" customHeight="1" x14ac:dyDescent="0.4">
      <c r="A56" s="309" t="s">
        <v>87</v>
      </c>
      <c r="B56" s="310">
        <v>75</v>
      </c>
      <c r="C56" s="231" t="str">
        <f>B20</f>
        <v>Rifampicin, Isoniazid</v>
      </c>
      <c r="H56" s="311"/>
    </row>
    <row r="57" spans="1:12" ht="18.75" x14ac:dyDescent="0.3">
      <c r="A57" s="308" t="s">
        <v>88</v>
      </c>
      <c r="B57" s="399">
        <f>Uniformity!C46</f>
        <v>373.51799999999992</v>
      </c>
      <c r="H57" s="311"/>
    </row>
    <row r="58" spans="1:12" ht="19.5" customHeight="1" x14ac:dyDescent="0.3">
      <c r="H58" s="311"/>
    </row>
    <row r="59" spans="1:12" s="3" customFormat="1" ht="27" customHeight="1" x14ac:dyDescent="0.4">
      <c r="A59" s="254" t="s">
        <v>89</v>
      </c>
      <c r="B59" s="255">
        <v>100</v>
      </c>
      <c r="C59" s="231"/>
      <c r="D59" s="312" t="s">
        <v>90</v>
      </c>
      <c r="E59" s="313" t="s">
        <v>62</v>
      </c>
      <c r="F59" s="313" t="s">
        <v>63</v>
      </c>
      <c r="G59" s="313" t="s">
        <v>91</v>
      </c>
      <c r="H59" s="258" t="s">
        <v>92</v>
      </c>
      <c r="L59" s="244"/>
    </row>
    <row r="60" spans="1:12" s="3" customFormat="1" ht="26.25" customHeight="1" x14ac:dyDescent="0.4">
      <c r="A60" s="256" t="s">
        <v>93</v>
      </c>
      <c r="B60" s="257">
        <v>1</v>
      </c>
      <c r="C60" s="537" t="s">
        <v>94</v>
      </c>
      <c r="D60" s="540">
        <v>39.99</v>
      </c>
      <c r="E60" s="314">
        <v>1</v>
      </c>
      <c r="F60" s="315">
        <v>29512367</v>
      </c>
      <c r="G60" s="400">
        <f>IF(ISBLANK(F60),"-",(F60/$D$50*$D$47*$B$68)*($B$57/$D$60))</f>
        <v>72.392467020459108</v>
      </c>
      <c r="H60" s="316">
        <f t="shared" ref="H60:H71" si="0">IF(ISBLANK(F60),"-",G60/$B$56)</f>
        <v>0.96523289360612141</v>
      </c>
      <c r="L60" s="244"/>
    </row>
    <row r="61" spans="1:12" s="3" customFormat="1" ht="26.25" customHeight="1" x14ac:dyDescent="0.4">
      <c r="A61" s="256" t="s">
        <v>95</v>
      </c>
      <c r="B61" s="257">
        <v>1</v>
      </c>
      <c r="C61" s="538"/>
      <c r="D61" s="541"/>
      <c r="E61" s="317">
        <v>2</v>
      </c>
      <c r="F61" s="269">
        <v>29453284</v>
      </c>
      <c r="G61" s="401">
        <f>IF(ISBLANK(F61),"-",(F61/$D$50*$D$47*$B$68)*($B$57/$D$60))</f>
        <v>72.24753916262344</v>
      </c>
      <c r="H61" s="318">
        <f t="shared" si="0"/>
        <v>0.96330052216831252</v>
      </c>
      <c r="L61" s="244"/>
    </row>
    <row r="62" spans="1:12" s="3" customFormat="1" ht="26.25" customHeight="1" x14ac:dyDescent="0.4">
      <c r="A62" s="256" t="s">
        <v>96</v>
      </c>
      <c r="B62" s="257">
        <v>1</v>
      </c>
      <c r="C62" s="538"/>
      <c r="D62" s="541"/>
      <c r="E62" s="317">
        <v>3</v>
      </c>
      <c r="F62" s="319">
        <v>29487577</v>
      </c>
      <c r="G62" s="401">
        <f>IF(ISBLANK(F62),"-",(F62/$D$50*$D$47*$B$68)*($B$57/$D$60))</f>
        <v>72.331658300594739</v>
      </c>
      <c r="H62" s="318">
        <f t="shared" si="0"/>
        <v>0.96442211067459649</v>
      </c>
      <c r="L62" s="244"/>
    </row>
    <row r="63" spans="1:12" ht="27" customHeight="1" x14ac:dyDescent="0.4">
      <c r="A63" s="256" t="s">
        <v>97</v>
      </c>
      <c r="B63" s="257">
        <v>1</v>
      </c>
      <c r="C63" s="548"/>
      <c r="D63" s="542"/>
      <c r="E63" s="320">
        <v>4</v>
      </c>
      <c r="F63" s="321"/>
      <c r="G63" s="401" t="str">
        <f>IF(ISBLANK(F63),"-",(F63/$D$50*$D$47*$B$68)*($B$57/$D$60))</f>
        <v>-</v>
      </c>
      <c r="H63" s="318" t="str">
        <f t="shared" si="0"/>
        <v>-</v>
      </c>
    </row>
    <row r="64" spans="1:12" ht="26.25" customHeight="1" x14ac:dyDescent="0.4">
      <c r="A64" s="256" t="s">
        <v>98</v>
      </c>
      <c r="B64" s="257">
        <v>1</v>
      </c>
      <c r="C64" s="537" t="s">
        <v>99</v>
      </c>
      <c r="D64" s="540">
        <v>39.22</v>
      </c>
      <c r="E64" s="314">
        <v>1</v>
      </c>
      <c r="F64" s="315">
        <v>27659005</v>
      </c>
      <c r="G64" s="402">
        <f>IF(ISBLANK(F64),"-",(F64/$D$50*$D$47*$B$68)*($B$57/$D$64))</f>
        <v>69.178270736820139</v>
      </c>
      <c r="H64" s="322">
        <f t="shared" si="0"/>
        <v>0.92237694315760188</v>
      </c>
    </row>
    <row r="65" spans="1:8" ht="26.25" customHeight="1" x14ac:dyDescent="0.4">
      <c r="A65" s="256" t="s">
        <v>100</v>
      </c>
      <c r="B65" s="257">
        <v>1</v>
      </c>
      <c r="C65" s="538"/>
      <c r="D65" s="541"/>
      <c r="E65" s="317">
        <v>2</v>
      </c>
      <c r="F65" s="269">
        <v>27646209</v>
      </c>
      <c r="G65" s="403">
        <f>IF(ISBLANK(F65),"-",(F65/$D$50*$D$47*$B$68)*($B$57/$D$64))</f>
        <v>69.14626650700967</v>
      </c>
      <c r="H65" s="323">
        <f t="shared" si="0"/>
        <v>0.92195022009346228</v>
      </c>
    </row>
    <row r="66" spans="1:8" ht="26.25" customHeight="1" x14ac:dyDescent="0.4">
      <c r="A66" s="256" t="s">
        <v>101</v>
      </c>
      <c r="B66" s="257">
        <v>1</v>
      </c>
      <c r="C66" s="538"/>
      <c r="D66" s="541"/>
      <c r="E66" s="317">
        <v>3</v>
      </c>
      <c r="F66" s="269"/>
      <c r="G66" s="403" t="str">
        <f>IF(ISBLANK(F66),"-",(F66/$D$50*$D$47*$B$68)*($B$57/$D$64))</f>
        <v>-</v>
      </c>
      <c r="H66" s="323" t="str">
        <f t="shared" si="0"/>
        <v>-</v>
      </c>
    </row>
    <row r="67" spans="1:8" ht="27" customHeight="1" x14ac:dyDescent="0.4">
      <c r="A67" s="256" t="s">
        <v>102</v>
      </c>
      <c r="B67" s="257">
        <v>1</v>
      </c>
      <c r="C67" s="548"/>
      <c r="D67" s="542"/>
      <c r="E67" s="320">
        <v>4</v>
      </c>
      <c r="F67" s="321"/>
      <c r="G67" s="404" t="str">
        <f>IF(ISBLANK(F67),"-",(F67/$D$50*$D$47*$B$68)*($B$57/$D$64))</f>
        <v>-</v>
      </c>
      <c r="H67" s="324" t="str">
        <f t="shared" si="0"/>
        <v>-</v>
      </c>
    </row>
    <row r="68" spans="1:8" ht="26.25" customHeight="1" x14ac:dyDescent="0.4">
      <c r="A68" s="256" t="s">
        <v>103</v>
      </c>
      <c r="B68" s="325">
        <f>(B67/B66)*(B65/B64)*(B63/B62)*(B61/B60)*B59</f>
        <v>100</v>
      </c>
      <c r="C68" s="537" t="s">
        <v>104</v>
      </c>
      <c r="D68" s="540">
        <v>40.54</v>
      </c>
      <c r="E68" s="314">
        <v>1</v>
      </c>
      <c r="F68" s="315">
        <v>29863164</v>
      </c>
      <c r="G68" s="402">
        <f>IF(ISBLANK(F68),"-",(F68/$D$50*$D$47*$B$68)*($B$57/$D$68))</f>
        <v>72.259144101859846</v>
      </c>
      <c r="H68" s="318">
        <f t="shared" si="0"/>
        <v>0.96345525469146465</v>
      </c>
    </row>
    <row r="69" spans="1:8" ht="27" customHeight="1" x14ac:dyDescent="0.4">
      <c r="A69" s="304" t="s">
        <v>105</v>
      </c>
      <c r="B69" s="326">
        <f>(D47*B68)/B56*B57</f>
        <v>39.841919999999995</v>
      </c>
      <c r="C69" s="538"/>
      <c r="D69" s="541"/>
      <c r="E69" s="317">
        <v>2</v>
      </c>
      <c r="F69" s="269">
        <v>29800927</v>
      </c>
      <c r="G69" s="403">
        <f>IF(ISBLANK(F69),"-",(F69/$D$50*$D$47*$B$68)*($B$57/$D$68))</f>
        <v>72.108550803994035</v>
      </c>
      <c r="H69" s="318">
        <f t="shared" si="0"/>
        <v>0.96144734405325383</v>
      </c>
    </row>
    <row r="70" spans="1:8" ht="26.25" customHeight="1" x14ac:dyDescent="0.4">
      <c r="A70" s="543" t="s">
        <v>78</v>
      </c>
      <c r="B70" s="544"/>
      <c r="C70" s="538"/>
      <c r="D70" s="541"/>
      <c r="E70" s="317">
        <v>3</v>
      </c>
      <c r="F70" s="269">
        <v>29784002</v>
      </c>
      <c r="G70" s="403">
        <f>IF(ISBLANK(F70),"-",(F70/$D$50*$D$47*$B$68)*($B$57/$D$68))</f>
        <v>72.067597808727882</v>
      </c>
      <c r="H70" s="318">
        <f t="shared" si="0"/>
        <v>0.96090130411637176</v>
      </c>
    </row>
    <row r="71" spans="1:8" ht="27" customHeight="1" x14ac:dyDescent="0.4">
      <c r="A71" s="545"/>
      <c r="B71" s="546"/>
      <c r="C71" s="539"/>
      <c r="D71" s="542"/>
      <c r="E71" s="320">
        <v>4</v>
      </c>
      <c r="F71" s="321"/>
      <c r="G71" s="404" t="str">
        <f>IF(ISBLANK(F71),"-",(F71/$D$50*$D$47*$B$68)*($B$57/$D$68))</f>
        <v>-</v>
      </c>
      <c r="H71" s="327" t="str">
        <f t="shared" si="0"/>
        <v>-</v>
      </c>
    </row>
    <row r="72" spans="1:8" ht="26.25" customHeight="1" x14ac:dyDescent="0.4">
      <c r="A72" s="328"/>
      <c r="B72" s="328"/>
      <c r="C72" s="328"/>
      <c r="D72" s="328"/>
      <c r="E72" s="328"/>
      <c r="F72" s="330" t="s">
        <v>71</v>
      </c>
      <c r="G72" s="409">
        <f>AVERAGE(G60:G71)</f>
        <v>71.466436805261111</v>
      </c>
      <c r="H72" s="331">
        <f>AVERAGE(H60:H71)</f>
        <v>0.95288582407014821</v>
      </c>
    </row>
    <row r="73" spans="1:8" ht="26.25" customHeight="1" x14ac:dyDescent="0.4">
      <c r="C73" s="328"/>
      <c r="D73" s="328"/>
      <c r="E73" s="328"/>
      <c r="F73" s="332" t="s">
        <v>84</v>
      </c>
      <c r="G73" s="405">
        <f>STDEV(G60:G71)/G72</f>
        <v>1.9955464015017268E-2</v>
      </c>
      <c r="H73" s="405">
        <f>STDEV(H60:H71)/H72</f>
        <v>1.9955464015017257E-2</v>
      </c>
    </row>
    <row r="74" spans="1:8" ht="27" customHeight="1" x14ac:dyDescent="0.4">
      <c r="A74" s="328"/>
      <c r="B74" s="328"/>
      <c r="C74" s="329"/>
      <c r="D74" s="329"/>
      <c r="E74" s="333"/>
      <c r="F74" s="334" t="s">
        <v>20</v>
      </c>
      <c r="G74" s="335">
        <f>COUNT(G60:G71)</f>
        <v>8</v>
      </c>
      <c r="H74" s="335">
        <f>COUNT(H60:H71)</f>
        <v>8</v>
      </c>
    </row>
    <row r="76" spans="1:8" ht="26.25" customHeight="1" x14ac:dyDescent="0.4">
      <c r="A76" s="240" t="s">
        <v>106</v>
      </c>
      <c r="B76" s="336" t="s">
        <v>107</v>
      </c>
      <c r="C76" s="524" t="str">
        <f>B20</f>
        <v>Rifampicin, Isoniazid</v>
      </c>
      <c r="D76" s="524"/>
      <c r="E76" s="337" t="s">
        <v>108</v>
      </c>
      <c r="F76" s="337"/>
      <c r="G76" s="338">
        <f>H72</f>
        <v>0.95288582407014821</v>
      </c>
      <c r="H76" s="339"/>
    </row>
    <row r="77" spans="1:8" ht="18.75" x14ac:dyDescent="0.3">
      <c r="A77" s="239" t="s">
        <v>109</v>
      </c>
      <c r="B77" s="239" t="s">
        <v>110</v>
      </c>
    </row>
    <row r="78" spans="1:8" ht="18.75" x14ac:dyDescent="0.3">
      <c r="A78" s="239"/>
      <c r="B78" s="239"/>
    </row>
    <row r="79" spans="1:8" ht="26.25" customHeight="1" x14ac:dyDescent="0.4">
      <c r="A79" s="240" t="s">
        <v>4</v>
      </c>
      <c r="B79" s="547" t="str">
        <f>B26</f>
        <v>ISONIAZID</v>
      </c>
      <c r="C79" s="547"/>
    </row>
    <row r="80" spans="1:8" ht="26.25" customHeight="1" x14ac:dyDescent="0.4">
      <c r="A80" s="241" t="s">
        <v>48</v>
      </c>
      <c r="B80" s="547" t="str">
        <f>B27</f>
        <v>I8-1</v>
      </c>
      <c r="C80" s="547"/>
    </row>
    <row r="81" spans="1:12" ht="27" customHeight="1" x14ac:dyDescent="0.4">
      <c r="A81" s="241" t="s">
        <v>6</v>
      </c>
      <c r="B81" s="340">
        <f>B28</f>
        <v>99.9</v>
      </c>
    </row>
    <row r="82" spans="1:12" s="3" customFormat="1" ht="27" customHeight="1" x14ac:dyDescent="0.4">
      <c r="A82" s="241" t="s">
        <v>49</v>
      </c>
      <c r="B82" s="243">
        <v>0</v>
      </c>
      <c r="C82" s="526" t="s">
        <v>50</v>
      </c>
      <c r="D82" s="527"/>
      <c r="E82" s="527"/>
      <c r="F82" s="527"/>
      <c r="G82" s="528"/>
      <c r="I82" s="244"/>
      <c r="J82" s="244"/>
      <c r="K82" s="244"/>
      <c r="L82" s="244"/>
    </row>
    <row r="83" spans="1:12" s="3" customFormat="1" ht="19.5" customHeight="1" x14ac:dyDescent="0.3">
      <c r="A83" s="241" t="s">
        <v>51</v>
      </c>
      <c r="B83" s="245">
        <f>B81-B82</f>
        <v>99.9</v>
      </c>
      <c r="C83" s="246"/>
      <c r="D83" s="246"/>
      <c r="E83" s="246"/>
      <c r="F83" s="246"/>
      <c r="G83" s="247"/>
      <c r="I83" s="244"/>
      <c r="J83" s="244"/>
      <c r="K83" s="244"/>
      <c r="L83" s="244"/>
    </row>
    <row r="84" spans="1:12" s="3" customFormat="1" ht="27" customHeight="1" x14ac:dyDescent="0.4">
      <c r="A84" s="241" t="s">
        <v>52</v>
      </c>
      <c r="B84" s="248">
        <v>1</v>
      </c>
      <c r="C84" s="529" t="s">
        <v>111</v>
      </c>
      <c r="D84" s="530"/>
      <c r="E84" s="530"/>
      <c r="F84" s="530"/>
      <c r="G84" s="530"/>
      <c r="H84" s="531"/>
      <c r="I84" s="244"/>
      <c r="J84" s="244"/>
      <c r="K84" s="244"/>
      <c r="L84" s="244"/>
    </row>
    <row r="85" spans="1:12" s="3" customFormat="1" ht="27" customHeight="1" x14ac:dyDescent="0.4">
      <c r="A85" s="241" t="s">
        <v>54</v>
      </c>
      <c r="B85" s="248">
        <v>1</v>
      </c>
      <c r="C85" s="529" t="s">
        <v>112</v>
      </c>
      <c r="D85" s="530"/>
      <c r="E85" s="530"/>
      <c r="F85" s="530"/>
      <c r="G85" s="530"/>
      <c r="H85" s="531"/>
      <c r="I85" s="244"/>
      <c r="J85" s="244"/>
      <c r="K85" s="244"/>
      <c r="L85" s="244"/>
    </row>
    <row r="86" spans="1:12" s="3" customFormat="1" ht="18.75" x14ac:dyDescent="0.3">
      <c r="A86" s="241"/>
      <c r="B86" s="251"/>
      <c r="C86" s="252"/>
      <c r="D86" s="252"/>
      <c r="E86" s="252"/>
      <c r="F86" s="252"/>
      <c r="G86" s="252"/>
      <c r="H86" s="252"/>
      <c r="I86" s="244"/>
      <c r="J86" s="244"/>
      <c r="K86" s="244"/>
      <c r="L86" s="244"/>
    </row>
    <row r="87" spans="1:12" s="3" customFormat="1" ht="18.75" x14ac:dyDescent="0.3">
      <c r="A87" s="241" t="s">
        <v>56</v>
      </c>
      <c r="B87" s="253">
        <f>B84/B85</f>
        <v>1</v>
      </c>
      <c r="C87" s="231" t="s">
        <v>57</v>
      </c>
      <c r="D87" s="231"/>
      <c r="E87" s="231"/>
      <c r="F87" s="231"/>
      <c r="G87" s="231"/>
      <c r="I87" s="244"/>
      <c r="J87" s="244"/>
      <c r="K87" s="244"/>
      <c r="L87" s="244"/>
    </row>
    <row r="88" spans="1:12" ht="19.5" customHeight="1" x14ac:dyDescent="0.3">
      <c r="A88" s="239"/>
      <c r="B88" s="239"/>
    </row>
    <row r="89" spans="1:12" ht="27" customHeight="1" x14ac:dyDescent="0.4">
      <c r="A89" s="254" t="s">
        <v>58</v>
      </c>
      <c r="B89" s="255">
        <v>100</v>
      </c>
      <c r="D89" s="341" t="s">
        <v>59</v>
      </c>
      <c r="E89" s="342"/>
      <c r="F89" s="532" t="s">
        <v>60</v>
      </c>
      <c r="G89" s="533"/>
    </row>
    <row r="90" spans="1:12" ht="27" customHeight="1" x14ac:dyDescent="0.4">
      <c r="A90" s="256" t="s">
        <v>61</v>
      </c>
      <c r="B90" s="257">
        <v>1</v>
      </c>
      <c r="C90" s="343" t="s">
        <v>62</v>
      </c>
      <c r="D90" s="259" t="s">
        <v>63</v>
      </c>
      <c r="E90" s="260" t="s">
        <v>64</v>
      </c>
      <c r="F90" s="259" t="s">
        <v>63</v>
      </c>
      <c r="G90" s="344" t="s">
        <v>64</v>
      </c>
      <c r="I90" s="262" t="s">
        <v>65</v>
      </c>
    </row>
    <row r="91" spans="1:12" ht="26.25" customHeight="1" x14ac:dyDescent="0.4">
      <c r="A91" s="256" t="s">
        <v>66</v>
      </c>
      <c r="B91" s="257">
        <v>1</v>
      </c>
      <c r="C91" s="345">
        <v>1</v>
      </c>
      <c r="D91" s="264">
        <v>40727802</v>
      </c>
      <c r="E91" s="265">
        <f>IF(ISBLANK(D91),"-",$D$101/$D$98*D91)</f>
        <v>31603543.07796168</v>
      </c>
      <c r="F91" s="264">
        <v>46514643</v>
      </c>
      <c r="G91" s="266">
        <f>IF(ISBLANK(F91),"-",$D$101/$F$98*F91)</f>
        <v>31961287.894154444</v>
      </c>
      <c r="I91" s="267"/>
    </row>
    <row r="92" spans="1:12" ht="26.25" customHeight="1" x14ac:dyDescent="0.4">
      <c r="A92" s="256" t="s">
        <v>67</v>
      </c>
      <c r="B92" s="257">
        <v>1</v>
      </c>
      <c r="C92" s="329">
        <v>2</v>
      </c>
      <c r="D92" s="269">
        <v>40720577</v>
      </c>
      <c r="E92" s="270">
        <f>IF(ISBLANK(D92),"-",$D$101/$D$98*D92)</f>
        <v>31597936.696386304</v>
      </c>
      <c r="F92" s="269">
        <v>46431468</v>
      </c>
      <c r="G92" s="271">
        <f>IF(ISBLANK(F92),"-",$D$101/$F$98*F92)</f>
        <v>31904136.42637695</v>
      </c>
      <c r="I92" s="534">
        <f>ABS((F96/D96*D95)-F95)/D95</f>
        <v>9.3393929967933217E-3</v>
      </c>
    </row>
    <row r="93" spans="1:12" ht="26.25" customHeight="1" x14ac:dyDescent="0.4">
      <c r="A93" s="256" t="s">
        <v>68</v>
      </c>
      <c r="B93" s="257">
        <v>1</v>
      </c>
      <c r="C93" s="329">
        <v>3</v>
      </c>
      <c r="D93" s="269">
        <v>40724241</v>
      </c>
      <c r="E93" s="270">
        <f>IF(ISBLANK(D93),"-",$D$101/$D$98*D93)</f>
        <v>31600779.849617057</v>
      </c>
      <c r="F93" s="269">
        <v>46164731</v>
      </c>
      <c r="G93" s="271">
        <f>IF(ISBLANK(F93),"-",$D$101/$F$98*F93)</f>
        <v>31720855.25943296</v>
      </c>
      <c r="I93" s="534"/>
    </row>
    <row r="94" spans="1:12" ht="27" customHeight="1" x14ac:dyDescent="0.4">
      <c r="A94" s="256" t="s">
        <v>69</v>
      </c>
      <c r="B94" s="257">
        <v>1</v>
      </c>
      <c r="C94" s="346">
        <v>4</v>
      </c>
      <c r="D94" s="274"/>
      <c r="E94" s="275" t="str">
        <f>IF(ISBLANK(D94),"-",$D$101/$D$98*D94)</f>
        <v>-</v>
      </c>
      <c r="F94" s="274"/>
      <c r="G94" s="276" t="str">
        <f>IF(ISBLANK(F94),"-",$D$101/$F$98*F94)</f>
        <v>-</v>
      </c>
      <c r="I94" s="277"/>
    </row>
    <row r="95" spans="1:12" ht="27" customHeight="1" x14ac:dyDescent="0.4">
      <c r="A95" s="256" t="s">
        <v>70</v>
      </c>
      <c r="B95" s="257">
        <v>1</v>
      </c>
      <c r="C95" s="347" t="s">
        <v>71</v>
      </c>
      <c r="D95" s="348">
        <f>AVERAGE(D91:D94)</f>
        <v>40724206.666666664</v>
      </c>
      <c r="E95" s="280">
        <f>AVERAGE(E91:E94)</f>
        <v>31600753.207988348</v>
      </c>
      <c r="F95" s="349">
        <f>AVERAGE(F91:F94)</f>
        <v>46370280.666666664</v>
      </c>
      <c r="G95" s="350">
        <f>AVERAGE(G91:G94)</f>
        <v>31862093.193321452</v>
      </c>
    </row>
    <row r="96" spans="1:12" ht="26.25" customHeight="1" x14ac:dyDescent="0.4">
      <c r="A96" s="256" t="s">
        <v>72</v>
      </c>
      <c r="B96" s="242">
        <v>1</v>
      </c>
      <c r="C96" s="351" t="s">
        <v>113</v>
      </c>
      <c r="D96" s="352">
        <v>10.75</v>
      </c>
      <c r="E96" s="272"/>
      <c r="F96" s="284">
        <v>12.14</v>
      </c>
    </row>
    <row r="97" spans="1:10" ht="26.25" customHeight="1" x14ac:dyDescent="0.4">
      <c r="A97" s="256" t="s">
        <v>74</v>
      </c>
      <c r="B97" s="242">
        <v>1</v>
      </c>
      <c r="C97" s="353" t="s">
        <v>114</v>
      </c>
      <c r="D97" s="354">
        <f>D96*$B$87</f>
        <v>10.75</v>
      </c>
      <c r="E97" s="287"/>
      <c r="F97" s="286">
        <f>F96*$B$87</f>
        <v>12.14</v>
      </c>
    </row>
    <row r="98" spans="1:10" ht="19.5" customHeight="1" x14ac:dyDescent="0.3">
      <c r="A98" s="256" t="s">
        <v>76</v>
      </c>
      <c r="B98" s="355">
        <f>(B97/B96)*(B95/B94)*(B93/B92)*(B91/B90)*B89</f>
        <v>100</v>
      </c>
      <c r="C98" s="353" t="s">
        <v>115</v>
      </c>
      <c r="D98" s="356">
        <f>D97*$B$83/100</f>
        <v>10.73925</v>
      </c>
      <c r="E98" s="290"/>
      <c r="F98" s="289">
        <f>F97*$B$83/100</f>
        <v>12.12786</v>
      </c>
    </row>
    <row r="99" spans="1:10" ht="19.5" customHeight="1" x14ac:dyDescent="0.3">
      <c r="A99" s="520" t="s">
        <v>78</v>
      </c>
      <c r="B99" s="535"/>
      <c r="C99" s="353" t="s">
        <v>116</v>
      </c>
      <c r="D99" s="357">
        <f>D98/$B$98</f>
        <v>0.1073925</v>
      </c>
      <c r="E99" s="290"/>
      <c r="F99" s="293">
        <f>F98/$B$98</f>
        <v>0.1212786</v>
      </c>
      <c r="G99" s="358"/>
      <c r="H99" s="282"/>
    </row>
    <row r="100" spans="1:10" ht="19.5" customHeight="1" x14ac:dyDescent="0.3">
      <c r="A100" s="522"/>
      <c r="B100" s="536"/>
      <c r="C100" s="353" t="s">
        <v>80</v>
      </c>
      <c r="D100" s="359">
        <f>$B$56/$B$116</f>
        <v>8.3333333333333329E-2</v>
      </c>
      <c r="F100" s="298"/>
      <c r="G100" s="360"/>
      <c r="H100" s="282"/>
    </row>
    <row r="101" spans="1:10" ht="18.75" x14ac:dyDescent="0.3">
      <c r="C101" s="353" t="s">
        <v>81</v>
      </c>
      <c r="D101" s="354">
        <f>D100*$B$98</f>
        <v>8.3333333333333321</v>
      </c>
      <c r="F101" s="298"/>
      <c r="G101" s="358"/>
      <c r="H101" s="282"/>
    </row>
    <row r="102" spans="1:10" ht="19.5" customHeight="1" x14ac:dyDescent="0.3">
      <c r="C102" s="361" t="s">
        <v>82</v>
      </c>
      <c r="D102" s="362">
        <f>D101/B34</f>
        <v>8.3333333333333321</v>
      </c>
      <c r="F102" s="302"/>
      <c r="G102" s="358"/>
      <c r="H102" s="282"/>
      <c r="J102" s="363"/>
    </row>
    <row r="103" spans="1:10" ht="18.75" x14ac:dyDescent="0.3">
      <c r="C103" s="364" t="s">
        <v>117</v>
      </c>
      <c r="D103" s="365">
        <f>AVERAGE(E91:E94,G91:G94)</f>
        <v>31731423.200654898</v>
      </c>
      <c r="F103" s="302"/>
      <c r="G103" s="366"/>
      <c r="H103" s="282"/>
      <c r="J103" s="367"/>
    </row>
    <row r="104" spans="1:10" ht="18.75" x14ac:dyDescent="0.3">
      <c r="C104" s="332" t="s">
        <v>84</v>
      </c>
      <c r="D104" s="368">
        <f>STDEV(E91:E94,G91:G94)/D103</f>
        <v>5.1595115889508788E-3</v>
      </c>
      <c r="F104" s="302"/>
      <c r="G104" s="358"/>
      <c r="H104" s="282"/>
      <c r="J104" s="367"/>
    </row>
    <row r="105" spans="1:10" ht="19.5" customHeight="1" x14ac:dyDescent="0.3">
      <c r="C105" s="334" t="s">
        <v>20</v>
      </c>
      <c r="D105" s="369">
        <f>COUNT(E91:E94,G91:G94)</f>
        <v>6</v>
      </c>
      <c r="F105" s="302"/>
      <c r="G105" s="358"/>
      <c r="H105" s="282"/>
      <c r="J105" s="367"/>
    </row>
    <row r="106" spans="1:10" ht="19.5" customHeight="1" x14ac:dyDescent="0.3">
      <c r="A106" s="306"/>
      <c r="B106" s="306"/>
      <c r="C106" s="306"/>
      <c r="D106" s="306"/>
      <c r="E106" s="306"/>
    </row>
    <row r="107" spans="1:10" ht="26.25" customHeight="1" x14ac:dyDescent="0.4">
      <c r="A107" s="254" t="s">
        <v>118</v>
      </c>
      <c r="B107" s="255">
        <v>900</v>
      </c>
      <c r="C107" s="370" t="s">
        <v>119</v>
      </c>
      <c r="D107" s="371" t="s">
        <v>63</v>
      </c>
      <c r="E107" s="372" t="s">
        <v>120</v>
      </c>
      <c r="F107" s="373" t="s">
        <v>121</v>
      </c>
    </row>
    <row r="108" spans="1:10" ht="26.25" customHeight="1" x14ac:dyDescent="0.4">
      <c r="A108" s="256" t="s">
        <v>122</v>
      </c>
      <c r="B108" s="257">
        <v>1</v>
      </c>
      <c r="C108" s="374">
        <v>1</v>
      </c>
      <c r="D108" s="375">
        <v>30307932</v>
      </c>
      <c r="E108" s="406">
        <f t="shared" ref="E108:E113" si="1">IF(ISBLANK(D108),"-",D108/$D$103*$D$100*$B$116)</f>
        <v>71.635453777978867</v>
      </c>
      <c r="F108" s="376">
        <f t="shared" ref="F108:F113" si="2">IF(ISBLANK(D108), "-", E108/$B$56)</f>
        <v>0.95513938370638485</v>
      </c>
    </row>
    <row r="109" spans="1:10" ht="26.25" customHeight="1" x14ac:dyDescent="0.4">
      <c r="A109" s="256" t="s">
        <v>95</v>
      </c>
      <c r="B109" s="257">
        <v>1</v>
      </c>
      <c r="C109" s="374">
        <v>2</v>
      </c>
      <c r="D109" s="375">
        <v>30025381</v>
      </c>
      <c r="E109" s="407">
        <f t="shared" si="1"/>
        <v>70.967619723830211</v>
      </c>
      <c r="F109" s="377">
        <f t="shared" si="2"/>
        <v>0.94623492965106948</v>
      </c>
    </row>
    <row r="110" spans="1:10" ht="26.25" customHeight="1" x14ac:dyDescent="0.4">
      <c r="A110" s="256" t="s">
        <v>96</v>
      </c>
      <c r="B110" s="257">
        <v>1</v>
      </c>
      <c r="C110" s="374">
        <v>3</v>
      </c>
      <c r="D110" s="375">
        <v>29485974</v>
      </c>
      <c r="E110" s="407">
        <f t="shared" si="1"/>
        <v>69.692684000204508</v>
      </c>
      <c r="F110" s="377">
        <f t="shared" si="2"/>
        <v>0.92923578666939344</v>
      </c>
    </row>
    <row r="111" spans="1:10" ht="26.25" customHeight="1" x14ac:dyDescent="0.4">
      <c r="A111" s="256" t="s">
        <v>97</v>
      </c>
      <c r="B111" s="257">
        <v>1</v>
      </c>
      <c r="C111" s="374">
        <v>4</v>
      </c>
      <c r="D111" s="375">
        <v>28717859</v>
      </c>
      <c r="E111" s="407">
        <f t="shared" si="1"/>
        <v>67.877176872279321</v>
      </c>
      <c r="F111" s="377">
        <f t="shared" si="2"/>
        <v>0.90502902496372428</v>
      </c>
    </row>
    <row r="112" spans="1:10" ht="26.25" customHeight="1" x14ac:dyDescent="0.4">
      <c r="A112" s="256" t="s">
        <v>98</v>
      </c>
      <c r="B112" s="257">
        <v>1</v>
      </c>
      <c r="C112" s="374">
        <v>5</v>
      </c>
      <c r="D112" s="375">
        <v>28083099</v>
      </c>
      <c r="E112" s="407">
        <f t="shared" si="1"/>
        <v>66.376865975445114</v>
      </c>
      <c r="F112" s="377">
        <f t="shared" si="2"/>
        <v>0.88502487967260146</v>
      </c>
    </row>
    <row r="113" spans="1:10" ht="26.25" customHeight="1" x14ac:dyDescent="0.4">
      <c r="A113" s="256" t="s">
        <v>100</v>
      </c>
      <c r="B113" s="257">
        <v>1</v>
      </c>
      <c r="C113" s="378">
        <v>6</v>
      </c>
      <c r="D113" s="379">
        <v>28062309</v>
      </c>
      <c r="E113" s="408">
        <f t="shared" si="1"/>
        <v>66.327726988197682</v>
      </c>
      <c r="F113" s="380">
        <f t="shared" si="2"/>
        <v>0.88436969317596914</v>
      </c>
    </row>
    <row r="114" spans="1:10" ht="26.25" customHeight="1" x14ac:dyDescent="0.4">
      <c r="A114" s="256" t="s">
        <v>101</v>
      </c>
      <c r="B114" s="257">
        <v>1</v>
      </c>
      <c r="C114" s="374"/>
      <c r="D114" s="329"/>
      <c r="E114" s="230"/>
      <c r="F114" s="381"/>
    </row>
    <row r="115" spans="1:10" ht="26.25" customHeight="1" x14ac:dyDescent="0.4">
      <c r="A115" s="256" t="s">
        <v>102</v>
      </c>
      <c r="B115" s="257">
        <v>1</v>
      </c>
      <c r="C115" s="374"/>
      <c r="D115" s="382" t="s">
        <v>71</v>
      </c>
      <c r="E115" s="410">
        <f>AVERAGE(E108:E113)</f>
        <v>68.812921222989289</v>
      </c>
      <c r="F115" s="383">
        <f>AVERAGE(F108:F113)</f>
        <v>0.91750561630652383</v>
      </c>
    </row>
    <row r="116" spans="1:10" ht="27" customHeight="1" x14ac:dyDescent="0.4">
      <c r="A116" s="256" t="s">
        <v>103</v>
      </c>
      <c r="B116" s="288">
        <f>(B115/B114)*(B113/B112)*(B111/B110)*(B109/B108)*B107</f>
        <v>900</v>
      </c>
      <c r="C116" s="384"/>
      <c r="D116" s="347" t="s">
        <v>84</v>
      </c>
      <c r="E116" s="385">
        <f>STDEV(E108:E113)/E115</f>
        <v>3.3373099037956697E-2</v>
      </c>
      <c r="F116" s="385">
        <f>STDEV(F108:F113)/F115</f>
        <v>3.337309903795669E-2</v>
      </c>
      <c r="I116" s="230"/>
    </row>
    <row r="117" spans="1:10" ht="27" customHeight="1" x14ac:dyDescent="0.4">
      <c r="A117" s="520" t="s">
        <v>78</v>
      </c>
      <c r="B117" s="521"/>
      <c r="C117" s="386"/>
      <c r="D117" s="387" t="s">
        <v>20</v>
      </c>
      <c r="E117" s="388">
        <f>COUNT(E108:E113)</f>
        <v>6</v>
      </c>
      <c r="F117" s="388">
        <f>COUNT(F108:F113)</f>
        <v>6</v>
      </c>
      <c r="I117" s="230"/>
      <c r="J117" s="367"/>
    </row>
    <row r="118" spans="1:10" ht="19.5" customHeight="1" x14ac:dyDescent="0.3">
      <c r="A118" s="522"/>
      <c r="B118" s="523"/>
      <c r="C118" s="230"/>
      <c r="D118" s="230"/>
      <c r="E118" s="230"/>
      <c r="F118" s="329"/>
      <c r="G118" s="230"/>
      <c r="H118" s="230"/>
      <c r="I118" s="230"/>
    </row>
    <row r="119" spans="1:10" ht="18.75" x14ac:dyDescent="0.3">
      <c r="A119" s="397"/>
      <c r="B119" s="252"/>
      <c r="C119" s="230"/>
      <c r="D119" s="230"/>
      <c r="E119" s="230"/>
      <c r="F119" s="329"/>
      <c r="G119" s="230"/>
      <c r="H119" s="230"/>
      <c r="I119" s="230"/>
    </row>
    <row r="120" spans="1:10" ht="26.25" customHeight="1" x14ac:dyDescent="0.4">
      <c r="A120" s="240" t="s">
        <v>106</v>
      </c>
      <c r="B120" s="336" t="s">
        <v>123</v>
      </c>
      <c r="C120" s="524" t="str">
        <f>B20</f>
        <v>Rifampicin, Isoniazid</v>
      </c>
      <c r="D120" s="524"/>
      <c r="E120" s="337" t="s">
        <v>124</v>
      </c>
      <c r="F120" s="337"/>
      <c r="G120" s="338">
        <f>F115</f>
        <v>0.91750561630652383</v>
      </c>
      <c r="H120" s="230"/>
      <c r="I120" s="230"/>
    </row>
    <row r="121" spans="1:10" ht="19.5" customHeight="1" x14ac:dyDescent="0.3">
      <c r="A121" s="389"/>
      <c r="B121" s="389"/>
      <c r="C121" s="390"/>
      <c r="D121" s="390"/>
      <c r="E121" s="390"/>
      <c r="F121" s="390"/>
      <c r="G121" s="390"/>
      <c r="H121" s="390"/>
    </row>
    <row r="122" spans="1:10" ht="18.75" x14ac:dyDescent="0.3">
      <c r="B122" s="525" t="s">
        <v>26</v>
      </c>
      <c r="C122" s="525"/>
      <c r="E122" s="343" t="s">
        <v>27</v>
      </c>
      <c r="F122" s="391"/>
      <c r="G122" s="525" t="s">
        <v>28</v>
      </c>
      <c r="H122" s="525"/>
    </row>
    <row r="123" spans="1:10" ht="69.95" customHeight="1" x14ac:dyDescent="0.3">
      <c r="A123" s="392" t="s">
        <v>29</v>
      </c>
      <c r="B123" s="393"/>
      <c r="C123" s="393"/>
      <c r="E123" s="393"/>
      <c r="F123" s="230"/>
      <c r="G123" s="394"/>
      <c r="H123" s="394"/>
    </row>
    <row r="124" spans="1:10" ht="69.95" customHeight="1" x14ac:dyDescent="0.3">
      <c r="A124" s="392" t="s">
        <v>30</v>
      </c>
      <c r="B124" s="395"/>
      <c r="C124" s="395"/>
      <c r="E124" s="395"/>
      <c r="F124" s="230"/>
      <c r="G124" s="396"/>
      <c r="H124" s="396"/>
    </row>
    <row r="125" spans="1:10" ht="18.75" x14ac:dyDescent="0.3">
      <c r="A125" s="328"/>
      <c r="B125" s="328"/>
      <c r="C125" s="329"/>
      <c r="D125" s="329"/>
      <c r="E125" s="329"/>
      <c r="F125" s="333"/>
      <c r="G125" s="329"/>
      <c r="H125" s="329"/>
      <c r="I125" s="230"/>
    </row>
    <row r="126" spans="1:10" ht="18.75" x14ac:dyDescent="0.3">
      <c r="A126" s="328"/>
      <c r="B126" s="328"/>
      <c r="C126" s="329"/>
      <c r="D126" s="329"/>
      <c r="E126" s="329"/>
      <c r="F126" s="333"/>
      <c r="G126" s="329"/>
      <c r="H126" s="329"/>
      <c r="I126" s="230"/>
    </row>
    <row r="127" spans="1:10" ht="18.75" x14ac:dyDescent="0.3">
      <c r="A127" s="328"/>
      <c r="B127" s="328"/>
      <c r="C127" s="329"/>
      <c r="D127" s="329"/>
      <c r="E127" s="329"/>
      <c r="F127" s="333"/>
      <c r="G127" s="329"/>
      <c r="H127" s="329"/>
      <c r="I127" s="230"/>
    </row>
    <row r="128" spans="1:10" ht="18.75" x14ac:dyDescent="0.3">
      <c r="A128" s="328"/>
      <c r="B128" s="328"/>
      <c r="C128" s="329"/>
      <c r="D128" s="329"/>
      <c r="E128" s="329"/>
      <c r="F128" s="333"/>
      <c r="G128" s="329"/>
      <c r="H128" s="329"/>
      <c r="I128" s="230"/>
    </row>
    <row r="129" spans="1:9" ht="18.75" x14ac:dyDescent="0.3">
      <c r="A129" s="328"/>
      <c r="B129" s="328"/>
      <c r="C129" s="329"/>
      <c r="D129" s="329"/>
      <c r="E129" s="329"/>
      <c r="F129" s="333"/>
      <c r="G129" s="329"/>
      <c r="H129" s="329"/>
      <c r="I129" s="230"/>
    </row>
    <row r="130" spans="1:9" ht="18.75" x14ac:dyDescent="0.3">
      <c r="A130" s="328"/>
      <c r="B130" s="328"/>
      <c r="C130" s="329"/>
      <c r="D130" s="329"/>
      <c r="E130" s="329"/>
      <c r="F130" s="333"/>
      <c r="G130" s="329"/>
      <c r="H130" s="329"/>
      <c r="I130" s="230"/>
    </row>
    <row r="131" spans="1:9" ht="18.75" x14ac:dyDescent="0.3">
      <c r="A131" s="328"/>
      <c r="B131" s="328"/>
      <c r="C131" s="329"/>
      <c r="D131" s="329"/>
      <c r="E131" s="329"/>
      <c r="F131" s="333"/>
      <c r="G131" s="329"/>
      <c r="H131" s="329"/>
      <c r="I131" s="230"/>
    </row>
    <row r="132" spans="1:9" ht="18.75" x14ac:dyDescent="0.3">
      <c r="A132" s="328"/>
      <c r="B132" s="328"/>
      <c r="C132" s="329"/>
      <c r="D132" s="329"/>
      <c r="E132" s="329"/>
      <c r="F132" s="333"/>
      <c r="G132" s="329"/>
      <c r="H132" s="329"/>
      <c r="I132" s="230"/>
    </row>
    <row r="133" spans="1:9" ht="18.75" x14ac:dyDescent="0.3">
      <c r="A133" s="328"/>
      <c r="B133" s="328"/>
      <c r="C133" s="329"/>
      <c r="D133" s="329"/>
      <c r="E133" s="329"/>
      <c r="F133" s="333"/>
      <c r="G133" s="329"/>
      <c r="H133" s="329"/>
      <c r="I133" s="23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RIFA</vt:lpstr>
      <vt:lpstr>SST ISONIAZID </vt:lpstr>
      <vt:lpstr>Uniformity</vt:lpstr>
      <vt:lpstr>RIFAMPICIN</vt:lpstr>
      <vt:lpstr>ISONIAZID</vt:lpstr>
      <vt:lpstr>ISONIAZID!Print_Area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2016-06-10T08:23:38Z</cp:lastPrinted>
  <dcterms:created xsi:type="dcterms:W3CDTF">2005-07-05T10:19:27Z</dcterms:created>
  <dcterms:modified xsi:type="dcterms:W3CDTF">2016-06-10T08:26:59Z</dcterms:modified>
</cp:coreProperties>
</file>