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1" activeTab="1"/>
  </bookViews>
  <sheets>
    <sheet name="SST  (diss run 1)" sheetId="15" r:id="rId1"/>
    <sheet name="SST " sheetId="14" r:id="rId2"/>
    <sheet name="Uniformity" sheetId="3" r:id="rId3"/>
    <sheet name="Amoxicillin Trihydrate " sheetId="6" r:id="rId4"/>
    <sheet name="Clavulanic Acid " sheetId="7" r:id="rId5"/>
    <sheet name="amoxicillin Trihydrate  (2)" sheetId="10" r:id="rId6"/>
    <sheet name="Clavulanic acid  (2)" sheetId="11" r:id="rId7"/>
  </sheets>
  <definedNames>
    <definedName name="_xlnm.Print_Area" localSheetId="2">Uniformity!$A$1:$P$54</definedName>
  </definedNames>
  <calcPr calcId="145621"/>
</workbook>
</file>

<file path=xl/calcChain.xml><?xml version="1.0" encoding="utf-8"?>
<calcChain xmlns="http://schemas.openxmlformats.org/spreadsheetml/2006/main">
  <c r="H117" i="11" l="1"/>
  <c r="H116" i="11"/>
  <c r="H115" i="11"/>
  <c r="H117" i="10"/>
  <c r="H116" i="10"/>
  <c r="H115" i="10"/>
  <c r="F51" i="14"/>
  <c r="B53" i="15" l="1"/>
  <c r="E51" i="15"/>
  <c r="D51" i="15"/>
  <c r="C51" i="15"/>
  <c r="B51" i="15"/>
  <c r="B52" i="15" s="1"/>
  <c r="B32" i="15"/>
  <c r="E30" i="15"/>
  <c r="D30" i="15"/>
  <c r="C30" i="15"/>
  <c r="B30" i="15"/>
  <c r="B31" i="15" s="1"/>
  <c r="B53" i="14" l="1"/>
  <c r="E51" i="14"/>
  <c r="D51" i="14"/>
  <c r="C51" i="14"/>
  <c r="B51" i="14"/>
  <c r="B52" i="14" s="1"/>
  <c r="B32" i="14"/>
  <c r="E30" i="14"/>
  <c r="D30" i="14"/>
  <c r="C30" i="14"/>
  <c r="B30" i="14"/>
  <c r="B31" i="14" s="1"/>
  <c r="C120" i="11" l="1"/>
  <c r="B116" i="11"/>
  <c r="D100" i="11"/>
  <c r="B98" i="11"/>
  <c r="D101" i="11" s="1"/>
  <c r="F97" i="11"/>
  <c r="D97" i="11"/>
  <c r="D98" i="11" s="1"/>
  <c r="F95" i="11"/>
  <c r="D95" i="11"/>
  <c r="B87" i="11"/>
  <c r="B81" i="11"/>
  <c r="B83" i="11" s="1"/>
  <c r="F98" i="11" s="1"/>
  <c r="B80" i="11"/>
  <c r="B79" i="11"/>
  <c r="C76" i="11"/>
  <c r="H71" i="11"/>
  <c r="G71" i="11"/>
  <c r="B69" i="11"/>
  <c r="B68" i="11"/>
  <c r="H67" i="11"/>
  <c r="H63" i="11"/>
  <c r="B57" i="11"/>
  <c r="C56" i="11"/>
  <c r="B55" i="11"/>
  <c r="F45" i="11"/>
  <c r="F46" i="11" s="1"/>
  <c r="B45" i="11"/>
  <c r="D48" i="11" s="1"/>
  <c r="F44" i="11"/>
  <c r="D44" i="11"/>
  <c r="D45" i="11" s="1"/>
  <c r="D46" i="11" s="1"/>
  <c r="F42" i="11"/>
  <c r="D42" i="11"/>
  <c r="I39" i="11" s="1"/>
  <c r="G41" i="11"/>
  <c r="E41" i="11"/>
  <c r="B34" i="11"/>
  <c r="B30" i="11"/>
  <c r="C120" i="10"/>
  <c r="B116" i="10"/>
  <c r="D100" i="10"/>
  <c r="B98" i="10"/>
  <c r="D101" i="10" s="1"/>
  <c r="E94" i="10" s="1"/>
  <c r="F97" i="10"/>
  <c r="D97" i="10"/>
  <c r="D98" i="10" s="1"/>
  <c r="F95" i="10"/>
  <c r="D95" i="10"/>
  <c r="B87" i="10"/>
  <c r="B81" i="10"/>
  <c r="B83" i="10" s="1"/>
  <c r="B80" i="10"/>
  <c r="B79" i="10"/>
  <c r="C76" i="10"/>
  <c r="H71" i="10"/>
  <c r="G71" i="10"/>
  <c r="B68" i="10"/>
  <c r="B69" i="10" s="1"/>
  <c r="H67" i="10"/>
  <c r="G67" i="10"/>
  <c r="H63" i="10"/>
  <c r="G63" i="10"/>
  <c r="B57" i="10"/>
  <c r="C56" i="10"/>
  <c r="B55" i="10"/>
  <c r="B45" i="10"/>
  <c r="D48" i="10" s="1"/>
  <c r="F42" i="10"/>
  <c r="I39" i="10" s="1"/>
  <c r="D42" i="10"/>
  <c r="G41" i="10"/>
  <c r="E41" i="10"/>
  <c r="B34" i="10"/>
  <c r="D44" i="10" s="1"/>
  <c r="D45" i="10" s="1"/>
  <c r="D46" i="10" s="1"/>
  <c r="B30" i="10"/>
  <c r="D102" i="11" l="1"/>
  <c r="E94" i="11"/>
  <c r="G94" i="11"/>
  <c r="I92" i="11"/>
  <c r="F98" i="10"/>
  <c r="G94" i="10" s="1"/>
  <c r="I92" i="10"/>
  <c r="D99" i="11"/>
  <c r="E91" i="11"/>
  <c r="E93" i="11"/>
  <c r="G91" i="11"/>
  <c r="F99" i="11"/>
  <c r="G39" i="11"/>
  <c r="E39" i="11"/>
  <c r="D49" i="11"/>
  <c r="E40" i="11"/>
  <c r="G38" i="11"/>
  <c r="G42" i="11" s="1"/>
  <c r="E38" i="11"/>
  <c r="G40" i="11"/>
  <c r="G92" i="11"/>
  <c r="E92" i="11"/>
  <c r="G93" i="11"/>
  <c r="D49" i="10"/>
  <c r="E38" i="10"/>
  <c r="E39" i="10"/>
  <c r="E40" i="10"/>
  <c r="D99" i="10"/>
  <c r="E93" i="10"/>
  <c r="E92" i="10"/>
  <c r="F99" i="10"/>
  <c r="D102" i="10"/>
  <c r="F44" i="10"/>
  <c r="F45" i="10" s="1"/>
  <c r="F46" i="10" s="1"/>
  <c r="E91" i="10"/>
  <c r="G93" i="10" l="1"/>
  <c r="G92" i="10"/>
  <c r="G91" i="10"/>
  <c r="D50" i="11"/>
  <c r="E42" i="11"/>
  <c r="D52" i="11"/>
  <c r="E95" i="11"/>
  <c r="D105" i="11"/>
  <c r="D103" i="11"/>
  <c r="G95" i="11"/>
  <c r="G38" i="10"/>
  <c r="D50" i="10"/>
  <c r="E42" i="10"/>
  <c r="E95" i="10"/>
  <c r="D105" i="10"/>
  <c r="D103" i="10"/>
  <c r="G95" i="10"/>
  <c r="G40" i="10"/>
  <c r="G39" i="10"/>
  <c r="D52" i="10" s="1"/>
  <c r="E112" i="11" l="1"/>
  <c r="F112" i="11" s="1"/>
  <c r="E110" i="11"/>
  <c r="F110" i="11" s="1"/>
  <c r="E108" i="11"/>
  <c r="E113" i="11"/>
  <c r="F113" i="11" s="1"/>
  <c r="E111" i="11"/>
  <c r="F111" i="11" s="1"/>
  <c r="E109" i="11"/>
  <c r="F109" i="11" s="1"/>
  <c r="D104" i="11"/>
  <c r="G68" i="11"/>
  <c r="H68" i="11" s="1"/>
  <c r="G66" i="11"/>
  <c r="H66" i="11" s="1"/>
  <c r="G64" i="11"/>
  <c r="H64" i="11" s="1"/>
  <c r="D51" i="11"/>
  <c r="G61" i="11"/>
  <c r="H61" i="11" s="1"/>
  <c r="G65" i="11"/>
  <c r="H65" i="11" s="1"/>
  <c r="G70" i="11"/>
  <c r="H70" i="11" s="1"/>
  <c r="G62" i="11"/>
  <c r="H62" i="11" s="1"/>
  <c r="G60" i="11"/>
  <c r="G69" i="11"/>
  <c r="H69" i="11" s="1"/>
  <c r="E113" i="10"/>
  <c r="F113" i="10" s="1"/>
  <c r="E111" i="10"/>
  <c r="F111" i="10" s="1"/>
  <c r="E109" i="10"/>
  <c r="F109" i="10" s="1"/>
  <c r="D104" i="10"/>
  <c r="E112" i="10"/>
  <c r="F112" i="10" s="1"/>
  <c r="E110" i="10"/>
  <c r="F110" i="10" s="1"/>
  <c r="E108" i="10"/>
  <c r="G68" i="10"/>
  <c r="H68" i="10" s="1"/>
  <c r="G66" i="10"/>
  <c r="H66" i="10" s="1"/>
  <c r="G62" i="10"/>
  <c r="H62" i="10" s="1"/>
  <c r="D51" i="10"/>
  <c r="G70" i="10"/>
  <c r="H70" i="10" s="1"/>
  <c r="G65" i="10"/>
  <c r="H65" i="10" s="1"/>
  <c r="G61" i="10"/>
  <c r="H61" i="10" s="1"/>
  <c r="G69" i="10"/>
  <c r="H69" i="10" s="1"/>
  <c r="G64" i="10"/>
  <c r="H64" i="10" s="1"/>
  <c r="G60" i="10"/>
  <c r="G42" i="10"/>
  <c r="E115" i="11" l="1"/>
  <c r="E116" i="11" s="1"/>
  <c r="E117" i="11"/>
  <c r="F108" i="11"/>
  <c r="H60" i="11"/>
  <c r="G74" i="11"/>
  <c r="G72" i="11"/>
  <c r="G73" i="11" s="1"/>
  <c r="G74" i="10"/>
  <c r="G72" i="10"/>
  <c r="G73" i="10" s="1"/>
  <c r="H60" i="10"/>
  <c r="E115" i="10"/>
  <c r="E116" i="10" s="1"/>
  <c r="E117" i="10"/>
  <c r="F108" i="10"/>
  <c r="F117" i="11" l="1"/>
  <c r="F115" i="11"/>
  <c r="H74" i="11"/>
  <c r="H72" i="11"/>
  <c r="H74" i="10"/>
  <c r="H72" i="10"/>
  <c r="F117" i="10"/>
  <c r="F115" i="10"/>
  <c r="G120" i="11" l="1"/>
  <c r="F116" i="11"/>
  <c r="G76" i="11"/>
  <c r="H73" i="11"/>
  <c r="G76" i="10"/>
  <c r="H73" i="10"/>
  <c r="G120" i="10"/>
  <c r="F116" i="10"/>
  <c r="G68" i="7" l="1"/>
  <c r="G60" i="7"/>
  <c r="G64" i="7"/>
  <c r="G61" i="7"/>
  <c r="H60" i="7"/>
  <c r="H61" i="7"/>
  <c r="H62" i="7"/>
  <c r="H63" i="7"/>
  <c r="H64" i="7"/>
  <c r="H65" i="7"/>
  <c r="H66" i="7"/>
  <c r="H67" i="7"/>
  <c r="H68" i="7"/>
  <c r="H69" i="7"/>
  <c r="C120" i="7" l="1"/>
  <c r="B116" i="7"/>
  <c r="D100" i="7"/>
  <c r="B98" i="7"/>
  <c r="F97" i="7"/>
  <c r="D97" i="7"/>
  <c r="F95" i="7"/>
  <c r="D95" i="7"/>
  <c r="I92" i="7" s="1"/>
  <c r="B87" i="7"/>
  <c r="B81" i="7"/>
  <c r="B83" i="7" s="1"/>
  <c r="B80" i="7"/>
  <c r="B79" i="7"/>
  <c r="C76" i="7"/>
  <c r="H71" i="7"/>
  <c r="G71" i="7"/>
  <c r="B69" i="7"/>
  <c r="B68" i="7"/>
  <c r="B57" i="7"/>
  <c r="C56" i="7"/>
  <c r="B55" i="7"/>
  <c r="D48" i="7"/>
  <c r="F45" i="7"/>
  <c r="F46" i="7" s="1"/>
  <c r="D45" i="7"/>
  <c r="D46" i="7" s="1"/>
  <c r="B45" i="7"/>
  <c r="F44" i="7"/>
  <c r="D44" i="7"/>
  <c r="F42" i="7"/>
  <c r="I39" i="7" s="1"/>
  <c r="D42" i="7"/>
  <c r="G41" i="7"/>
  <c r="E41" i="7"/>
  <c r="B34" i="7"/>
  <c r="B30" i="7"/>
  <c r="C120" i="6"/>
  <c r="B116" i="6"/>
  <c r="D100" i="6"/>
  <c r="B98" i="6"/>
  <c r="D101" i="6" s="1"/>
  <c r="G92" i="6" s="1"/>
  <c r="F97" i="6"/>
  <c r="F98" i="6" s="1"/>
  <c r="D97" i="6"/>
  <c r="D98" i="6" s="1"/>
  <c r="F95" i="6"/>
  <c r="D95" i="6"/>
  <c r="G94" i="6"/>
  <c r="E94" i="6"/>
  <c r="B87" i="6"/>
  <c r="B83" i="6"/>
  <c r="B81" i="6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F46" i="6" l="1"/>
  <c r="D101" i="7"/>
  <c r="D102" i="7" s="1"/>
  <c r="E39" i="7"/>
  <c r="E38" i="7"/>
  <c r="I39" i="6"/>
  <c r="I92" i="6"/>
  <c r="F98" i="7"/>
  <c r="G93" i="7" s="1"/>
  <c r="D98" i="7"/>
  <c r="G38" i="7"/>
  <c r="G40" i="7"/>
  <c r="E42" i="7"/>
  <c r="G39" i="7"/>
  <c r="E40" i="7"/>
  <c r="D49" i="7"/>
  <c r="E92" i="6"/>
  <c r="E93" i="6"/>
  <c r="E91" i="6"/>
  <c r="D99" i="6"/>
  <c r="G91" i="6"/>
  <c r="F99" i="6"/>
  <c r="G93" i="6"/>
  <c r="G40" i="6"/>
  <c r="D49" i="6"/>
  <c r="G38" i="6"/>
  <c r="G39" i="6"/>
  <c r="D44" i="6"/>
  <c r="D45" i="6" s="1"/>
  <c r="D46" i="6" s="1"/>
  <c r="D102" i="6"/>
  <c r="D52" i="7" l="1"/>
  <c r="G42" i="7"/>
  <c r="F99" i="7"/>
  <c r="G94" i="7"/>
  <c r="G92" i="7"/>
  <c r="D99" i="7"/>
  <c r="E94" i="7"/>
  <c r="E93" i="7"/>
  <c r="E91" i="7"/>
  <c r="D50" i="7"/>
  <c r="E92" i="7"/>
  <c r="G91" i="7"/>
  <c r="E40" i="6"/>
  <c r="D105" i="6"/>
  <c r="D103" i="6"/>
  <c r="E95" i="6"/>
  <c r="E38" i="6"/>
  <c r="E39" i="6"/>
  <c r="G95" i="6"/>
  <c r="G42" i="6"/>
  <c r="G95" i="7" l="1"/>
  <c r="G69" i="7"/>
  <c r="G70" i="7"/>
  <c r="H70" i="7" s="1"/>
  <c r="G66" i="7"/>
  <c r="D51" i="7"/>
  <c r="G62" i="7"/>
  <c r="G65" i="7"/>
  <c r="D105" i="7"/>
  <c r="D103" i="7"/>
  <c r="E95" i="7"/>
  <c r="E112" i="6"/>
  <c r="F112" i="6" s="1"/>
  <c r="E113" i="6"/>
  <c r="F113" i="6" s="1"/>
  <c r="E111" i="6"/>
  <c r="F111" i="6" s="1"/>
  <c r="E109" i="6"/>
  <c r="F109" i="6" s="1"/>
  <c r="D104" i="6"/>
  <c r="E110" i="6"/>
  <c r="F110" i="6" s="1"/>
  <c r="E108" i="6"/>
  <c r="D50" i="6"/>
  <c r="E42" i="6"/>
  <c r="D52" i="6"/>
  <c r="D49" i="3"/>
  <c r="C49" i="3"/>
  <c r="C46" i="3"/>
  <c r="D50" i="3" s="1"/>
  <c r="C45" i="3"/>
  <c r="D43" i="3"/>
  <c r="D40" i="3"/>
  <c r="D39" i="3"/>
  <c r="D37" i="3"/>
  <c r="D36" i="3"/>
  <c r="D35" i="3"/>
  <c r="D33" i="3"/>
  <c r="D32" i="3"/>
  <c r="D31" i="3"/>
  <c r="D29" i="3"/>
  <c r="D28" i="3"/>
  <c r="D27" i="3"/>
  <c r="D25" i="3"/>
  <c r="D24" i="3"/>
  <c r="C19" i="3"/>
  <c r="G74" i="7" l="1"/>
  <c r="G72" i="7"/>
  <c r="G73" i="7" s="1"/>
  <c r="H72" i="7"/>
  <c r="H74" i="7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117" i="6"/>
  <c r="F108" i="6"/>
  <c r="F115" i="6" s="1"/>
  <c r="G120" i="6" s="1"/>
  <c r="E115" i="6"/>
  <c r="E116" i="6" s="1"/>
  <c r="G68" i="6"/>
  <c r="H68" i="6" s="1"/>
  <c r="D51" i="6"/>
  <c r="G69" i="6"/>
  <c r="H69" i="6" s="1"/>
  <c r="G66" i="6"/>
  <c r="H66" i="6" s="1"/>
  <c r="G64" i="6"/>
  <c r="H64" i="6" s="1"/>
  <c r="G62" i="6"/>
  <c r="H62" i="6" s="1"/>
  <c r="G60" i="6"/>
  <c r="G70" i="6"/>
  <c r="H70" i="6" s="1"/>
  <c r="G65" i="6"/>
  <c r="H65" i="6" s="1"/>
  <c r="G61" i="6"/>
  <c r="H61" i="6" s="1"/>
  <c r="D41" i="3"/>
  <c r="C50" i="3"/>
  <c r="D26" i="3"/>
  <c r="D30" i="3"/>
  <c r="D34" i="3"/>
  <c r="D38" i="3"/>
  <c r="D42" i="3"/>
  <c r="B49" i="3"/>
  <c r="E117" i="7" l="1"/>
  <c r="F108" i="7"/>
  <c r="F115" i="7" s="1"/>
  <c r="G120" i="7" s="1"/>
  <c r="E115" i="7"/>
  <c r="E116" i="7" s="1"/>
  <c r="H73" i="7"/>
  <c r="G76" i="7"/>
  <c r="G74" i="6"/>
  <c r="G72" i="6"/>
  <c r="G73" i="6" s="1"/>
  <c r="H60" i="6"/>
  <c r="F117" i="6"/>
  <c r="F117" i="7" l="1"/>
  <c r="F116" i="6"/>
  <c r="H74" i="6"/>
  <c r="H72" i="6"/>
  <c r="F116" i="7" l="1"/>
  <c r="H73" i="6"/>
  <c r="G76" i="6"/>
</calcChain>
</file>

<file path=xl/sharedStrings.xml><?xml version="1.0" encoding="utf-8"?>
<sst xmlns="http://schemas.openxmlformats.org/spreadsheetml/2006/main" count="768" uniqueCount="133">
  <si>
    <t>HPLC System Suitability Report</t>
  </si>
  <si>
    <t>Analysis Data</t>
  </si>
  <si>
    <t>Sample(s)</t>
  </si>
  <si>
    <t>Reference Substance:</t>
  </si>
  <si>
    <t>FAMOXICLAVI625</t>
  </si>
  <si>
    <t>% age Purity:</t>
  </si>
  <si>
    <t>NDQD201511562</t>
  </si>
  <si>
    <t>Weight (mg):</t>
  </si>
  <si>
    <t>AMOXICILLIN 500MG</t>
  </si>
  <si>
    <t>Standard Conc (mg/mL):</t>
  </si>
  <si>
    <t>Each film coated tablet contains Amoxicillin Trihydrate Ph. Eur. eq to amoxicillin 500 mg, Clavualnate Potassium Ph. Eur. eq to Clavulanic acid 125 mg</t>
  </si>
  <si>
    <t>2015-11-17 14:26:57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</si>
  <si>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</si>
  <si>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</si>
  <si>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</si>
  <si>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</si>
  <si>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</si>
  <si>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</si>
  <si>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</si>
  <si>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</si>
  <si>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</si>
  <si>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</si>
  <si>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</si>
  <si>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</si>
  <si>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</si>
  <si>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</si>
  <si>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</si>
  <si>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</si>
  <si>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</si>
  <si>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</si>
  <si>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</si>
  <si>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</si>
  <si>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</si>
  <si>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</si>
  <si>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</si>
  <si>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</si>
  <si>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</si>
  <si>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</si>
  <si>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</si>
  <si>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</si>
  <si>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</si>
  <si>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</si>
  <si>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</si>
  <si>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</si>
  <si>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</si>
  <si>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</si>
  <si>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</si>
  <si>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</si>
  <si>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</si>
  <si>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</si>
  <si>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</si>
  <si>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</si>
  <si>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</si>
  <si>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</si>
  <si>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</si>
  <si>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</si>
  <si>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</si>
  <si>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</si>
  <si>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</si>
  <si>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</si>
  <si>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</si>
  <si>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</si>
  <si>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</si>
  <si>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</si>
  <si>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</si>
  <si>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</si>
  <si>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</si>
  <si>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</si>
  <si>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</si>
  <si>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</si>
  <si>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</si>
  <si>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</si>
  <si>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</si>
  <si>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</si>
  <si>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</si>
  <si>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</si>
  <si>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</si>
  <si>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</si>
  <si>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</si>
  <si>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</si>
  <si>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</si>
  <si>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</si>
  <si>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</si>
  <si>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</si>
  <si>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</si>
  <si>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</si>
  <si>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</si>
  <si>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</si>
  <si>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</si>
  <si>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</si>
  <si>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</si>
  <si>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</si>
  <si>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</si>
  <si>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</si>
  <si>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</si>
  <si>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</si>
  <si>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</si>
  <si>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</si>
  <si>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</si>
  <si>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</si>
  <si>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</si>
  <si>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</si>
  <si>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</si>
  <si>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</si>
  <si>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</si>
  <si>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</si>
  <si>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</si>
  <si>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</si>
  <si>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</si>
  <si>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</si>
  <si>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</si>
  <si>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</si>
  <si>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</si>
  <si>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</si>
  <si>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</si>
  <si>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</si>
  <si>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</si>
  <si>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</si>
  <si>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</si>
  <si>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</si>
  <si>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</si>
  <si>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</si>
  <si>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</si>
  <si>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Amoxicillin </t>
  </si>
  <si>
    <t xml:space="preserve">AMOXICILLIN </t>
  </si>
  <si>
    <t>Assay/dissolution</t>
  </si>
  <si>
    <t>CLAVULANIC ACID</t>
  </si>
  <si>
    <t>Clavulanic acid</t>
  </si>
  <si>
    <t>S2</t>
  </si>
  <si>
    <t>RUN 1(S2)</t>
  </si>
  <si>
    <t>Peak Resolution (USP)</t>
  </si>
  <si>
    <r>
      <t xml:space="preserve">Peak Resolution is </t>
    </r>
    <r>
      <rPr>
        <b/>
        <sz val="12"/>
        <color rgb="FF000000"/>
        <rFont val="Book Antiqua"/>
        <family val="1"/>
      </rPr>
      <t>Not Less Than 3.5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</si>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</sst>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6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5" fillId="2" borderId="59" xfId="0" applyFont="1" applyFill="1" applyBorder="1" applyAlignment="1">
      <alignment horizontal="center"/>
    </xf>
    <xf numFmtId="10" fontId="11" fillId="2" borderId="60" xfId="0" applyNumberFormat="1" applyFont="1" applyFill="1" applyBorder="1" applyAlignment="1">
      <alignment horizontal="center" vertical="center"/>
    </xf>
    <xf numFmtId="10" fontId="11" fillId="2" borderId="61" xfId="0" applyNumberFormat="1" applyFont="1" applyFill="1" applyBorder="1" applyAlignment="1">
      <alignment horizontal="center" vertical="center"/>
    </xf>
    <xf numFmtId="10" fontId="11" fillId="2" borderId="62" xfId="0" applyNumberFormat="1" applyFont="1" applyFill="1" applyBorder="1" applyAlignment="1">
      <alignment horizontal="center" vertical="center"/>
    </xf>
    <xf numFmtId="166" fontId="11" fillId="2" borderId="43" xfId="0" applyNumberFormat="1" applyFont="1" applyFill="1" applyBorder="1" applyAlignment="1">
      <alignment horizontal="center"/>
    </xf>
    <xf numFmtId="0" fontId="24" fillId="2" borderId="0" xfId="0" applyFont="1" applyFill="1"/>
    <xf numFmtId="0" fontId="25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165" fontId="13" fillId="6" borderId="27" xfId="0" applyNumberFormat="1" applyFont="1" applyFill="1" applyBorder="1" applyAlignment="1">
      <alignment horizontal="center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58" sqref="B58"/>
    </sheetView>
  </sheetViews>
  <sheetFormatPr defaultRowHeight="13.5" x14ac:dyDescent="0.25"/>
  <cols>
    <col min="1" max="1" width="27.5703125" style="190" customWidth="1"/>
    <col min="2" max="2" width="20.42578125" style="190" customWidth="1"/>
    <col min="3" max="3" width="31.85546875" style="190" customWidth="1"/>
    <col min="4" max="4" width="25.85546875" style="190" customWidth="1"/>
    <col min="5" max="5" width="25.7109375" style="190" customWidth="1"/>
    <col min="6" max="6" width="23.140625" style="190" customWidth="1"/>
    <col min="7" max="7" width="28.42578125" style="190" customWidth="1"/>
    <col min="8" max="8" width="21.5703125" style="190" customWidth="1"/>
    <col min="9" max="9" width="9.140625" style="190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61" t="s">
        <v>0</v>
      </c>
      <c r="B15" s="261"/>
      <c r="C15" s="261"/>
      <c r="D15" s="261"/>
      <c r="E15" s="261"/>
    </row>
    <row r="16" spans="1:6" ht="16.5" customHeight="1" x14ac:dyDescent="0.3">
      <c r="A16" s="75" t="s">
        <v>1</v>
      </c>
      <c r="B16" s="44" t="s">
        <v>125</v>
      </c>
      <c r="C16" s="260" t="s">
        <v>129</v>
      </c>
    </row>
    <row r="17" spans="1:5" ht="16.5" customHeight="1" x14ac:dyDescent="0.3">
      <c r="A17" s="3" t="s">
        <v>2</v>
      </c>
      <c r="B17" s="3" t="s">
        <v>4</v>
      </c>
      <c r="D17" s="4"/>
      <c r="E17" s="57"/>
    </row>
    <row r="18" spans="1:5" ht="16.5" customHeight="1" x14ac:dyDescent="0.3">
      <c r="A18" s="60" t="s">
        <v>3</v>
      </c>
      <c r="B18" s="3" t="s">
        <v>124</v>
      </c>
      <c r="C18" s="57"/>
      <c r="D18" s="57"/>
      <c r="E18" s="57"/>
    </row>
    <row r="19" spans="1:5" ht="16.5" customHeight="1" x14ac:dyDescent="0.3">
      <c r="A19" s="60" t="s">
        <v>5</v>
      </c>
      <c r="B19" s="5">
        <v>86.6</v>
      </c>
      <c r="C19" s="57"/>
      <c r="D19" s="57"/>
      <c r="E19" s="57"/>
    </row>
    <row r="20" spans="1:5" ht="16.5" customHeight="1" x14ac:dyDescent="0.3">
      <c r="A20" s="3" t="s">
        <v>7</v>
      </c>
      <c r="B20" s="5">
        <v>26.66</v>
      </c>
      <c r="C20" s="57"/>
      <c r="D20" s="57"/>
      <c r="E20" s="57"/>
    </row>
    <row r="21" spans="1:5" ht="16.5" customHeight="1" x14ac:dyDescent="0.3">
      <c r="A21" s="3" t="s">
        <v>9</v>
      </c>
      <c r="B21" s="6">
        <v>0.5</v>
      </c>
      <c r="C21" s="57"/>
      <c r="D21" s="57"/>
      <c r="E21" s="57"/>
    </row>
    <row r="22" spans="1:5" ht="15.75" customHeight="1" x14ac:dyDescent="0.25">
      <c r="A22" s="57"/>
      <c r="B22" s="57"/>
      <c r="C22" s="57"/>
      <c r="D22" s="57"/>
      <c r="E22" s="57"/>
    </row>
    <row r="23" spans="1:5" ht="16.5" customHeight="1" x14ac:dyDescent="0.3">
      <c r="A23" s="8" t="s">
        <v>12</v>
      </c>
      <c r="B23" s="7" t="s">
        <v>13</v>
      </c>
      <c r="C23" s="8" t="s">
        <v>14</v>
      </c>
      <c r="D23" s="8" t="s">
        <v>15</v>
      </c>
      <c r="E23" s="8" t="s">
        <v>16</v>
      </c>
    </row>
    <row r="24" spans="1:5" ht="16.5" customHeight="1" x14ac:dyDescent="0.3">
      <c r="A24" s="9">
        <v>1</v>
      </c>
      <c r="B24" s="10">
        <v>120519199</v>
      </c>
      <c r="C24" s="10">
        <v>10599.19</v>
      </c>
      <c r="D24" s="11">
        <v>0.98</v>
      </c>
      <c r="E24" s="12">
        <v>7.12</v>
      </c>
    </row>
    <row r="25" spans="1:5" ht="16.5" customHeight="1" x14ac:dyDescent="0.3">
      <c r="A25" s="9">
        <v>2</v>
      </c>
      <c r="B25" s="10">
        <v>120658160</v>
      </c>
      <c r="C25" s="10">
        <v>10692.02</v>
      </c>
      <c r="D25" s="11">
        <v>0.96</v>
      </c>
      <c r="E25" s="11">
        <v>7.17</v>
      </c>
    </row>
    <row r="26" spans="1:5" ht="16.5" customHeight="1" x14ac:dyDescent="0.3">
      <c r="A26" s="9">
        <v>3</v>
      </c>
      <c r="B26" s="10">
        <v>121158802</v>
      </c>
      <c r="C26" s="10">
        <v>10745.31</v>
      </c>
      <c r="D26" s="11">
        <v>0.98</v>
      </c>
      <c r="E26" s="11">
        <v>7.18</v>
      </c>
    </row>
    <row r="27" spans="1:5" ht="16.5" customHeight="1" x14ac:dyDescent="0.3">
      <c r="A27" s="9">
        <v>4</v>
      </c>
      <c r="B27" s="10">
        <v>121367124</v>
      </c>
      <c r="C27" s="10">
        <v>10760.27</v>
      </c>
      <c r="D27" s="11">
        <v>0.97</v>
      </c>
      <c r="E27" s="11">
        <v>7.19</v>
      </c>
    </row>
    <row r="28" spans="1:5" ht="16.5" customHeight="1" x14ac:dyDescent="0.3">
      <c r="A28" s="9">
        <v>5</v>
      </c>
      <c r="B28" s="10">
        <v>120635260</v>
      </c>
      <c r="C28" s="10">
        <v>10762.48</v>
      </c>
      <c r="D28" s="11">
        <v>0.99</v>
      </c>
      <c r="E28" s="11">
        <v>7.2</v>
      </c>
    </row>
    <row r="29" spans="1:5" ht="16.5" customHeight="1" x14ac:dyDescent="0.3">
      <c r="A29" s="9">
        <v>6</v>
      </c>
      <c r="B29" s="13">
        <v>120574520</v>
      </c>
      <c r="C29" s="13">
        <v>10760.19</v>
      </c>
      <c r="D29" s="14">
        <v>0.98</v>
      </c>
      <c r="E29" s="14">
        <v>7.2</v>
      </c>
    </row>
    <row r="30" spans="1:5" ht="16.5" customHeight="1" x14ac:dyDescent="0.3">
      <c r="A30" s="15" t="s">
        <v>17</v>
      </c>
      <c r="B30" s="16">
        <f>AVERAGE(B24:B29)</f>
        <v>120818844.16666667</v>
      </c>
      <c r="C30" s="17">
        <f>AVERAGE(C24:C29)</f>
        <v>10719.909999999998</v>
      </c>
      <c r="D30" s="18">
        <f>AVERAGE(D24:D29)</f>
        <v>0.97666666666666657</v>
      </c>
      <c r="E30" s="18">
        <f>AVERAGE(E24:E29)</f>
        <v>7.1766666666666667</v>
      </c>
    </row>
    <row r="31" spans="1:5" ht="16.5" customHeight="1" x14ac:dyDescent="0.3">
      <c r="A31" s="19" t="s">
        <v>18</v>
      </c>
      <c r="B31" s="20">
        <f>(STDEV(B24:B29)/B30)</f>
        <v>2.9267458040827762E-3</v>
      </c>
      <c r="C31" s="21"/>
      <c r="D31" s="21"/>
      <c r="E31" s="22"/>
    </row>
    <row r="32" spans="1:5" s="190" customFormat="1" ht="16.5" customHeight="1" x14ac:dyDescent="0.3">
      <c r="A32" s="23" t="s">
        <v>19</v>
      </c>
      <c r="B32" s="24">
        <f>COUNT(B24:B29)</f>
        <v>6</v>
      </c>
      <c r="C32" s="25"/>
      <c r="D32" s="58"/>
      <c r="E32" s="26"/>
    </row>
    <row r="33" spans="1:5" s="190" customFormat="1" ht="15.75" customHeight="1" x14ac:dyDescent="0.25">
      <c r="A33" s="57"/>
      <c r="B33" s="57"/>
      <c r="C33" s="57"/>
      <c r="D33" s="57"/>
      <c r="E33" s="57"/>
    </row>
    <row r="34" spans="1:5" s="190" customFormat="1" ht="16.5" customHeight="1" x14ac:dyDescent="0.3">
      <c r="A34" s="60" t="s">
        <v>20</v>
      </c>
      <c r="B34" s="28" t="s">
        <v>21</v>
      </c>
      <c r="C34" s="27"/>
      <c r="D34" s="27"/>
      <c r="E34" s="27"/>
    </row>
    <row r="35" spans="1:5" ht="16.5" customHeight="1" x14ac:dyDescent="0.3">
      <c r="A35" s="60"/>
      <c r="B35" s="28" t="s">
        <v>22</v>
      </c>
      <c r="C35" s="27"/>
      <c r="D35" s="27"/>
      <c r="E35" s="27"/>
    </row>
    <row r="36" spans="1:5" ht="16.5" customHeight="1" x14ac:dyDescent="0.3">
      <c r="A36" s="60"/>
      <c r="B36" s="28" t="s">
        <v>23</v>
      </c>
      <c r="C36" s="27"/>
      <c r="D36" s="27"/>
      <c r="E36" s="27"/>
    </row>
    <row r="37" spans="1:5" ht="15.75" customHeight="1" x14ac:dyDescent="0.25">
      <c r="A37" s="57"/>
      <c r="B37" s="57"/>
      <c r="C37" s="57"/>
      <c r="D37" s="57"/>
      <c r="E37" s="57"/>
    </row>
    <row r="38" spans="1:5" ht="16.5" customHeight="1" x14ac:dyDescent="0.3">
      <c r="A38" s="75" t="s">
        <v>1</v>
      </c>
      <c r="B38" s="44" t="s">
        <v>126</v>
      </c>
    </row>
    <row r="39" spans="1:5" ht="16.5" customHeight="1" x14ac:dyDescent="0.3">
      <c r="A39" s="60" t="s">
        <v>3</v>
      </c>
      <c r="B39" s="3" t="s">
        <v>127</v>
      </c>
      <c r="C39" s="57"/>
      <c r="D39" s="57"/>
      <c r="E39" s="57"/>
    </row>
    <row r="40" spans="1:5" ht="16.5" customHeight="1" x14ac:dyDescent="0.3">
      <c r="A40" s="60" t="s">
        <v>5</v>
      </c>
      <c r="B40" s="5">
        <v>96.4</v>
      </c>
      <c r="C40" s="57"/>
      <c r="D40" s="57"/>
      <c r="E40" s="57"/>
    </row>
    <row r="41" spans="1:5" ht="16.5" customHeight="1" x14ac:dyDescent="0.3">
      <c r="A41" s="3" t="s">
        <v>7</v>
      </c>
      <c r="B41" s="5">
        <v>20.329999999999998</v>
      </c>
      <c r="C41" s="57"/>
      <c r="D41" s="57"/>
      <c r="E41" s="57"/>
    </row>
    <row r="42" spans="1:5" ht="16.5" customHeight="1" x14ac:dyDescent="0.3">
      <c r="A42" s="3" t="s">
        <v>9</v>
      </c>
      <c r="B42" s="6">
        <v>0.14860000000000001</v>
      </c>
      <c r="C42" s="57"/>
      <c r="D42" s="57"/>
      <c r="E42" s="57"/>
    </row>
    <row r="43" spans="1:5" ht="15.75" customHeight="1" x14ac:dyDescent="0.25">
      <c r="A43" s="57"/>
      <c r="B43" s="57"/>
      <c r="C43" s="57"/>
      <c r="D43" s="57"/>
      <c r="E43" s="57"/>
    </row>
    <row r="44" spans="1:5" ht="16.5" customHeight="1" x14ac:dyDescent="0.3">
      <c r="A44" s="8" t="s">
        <v>12</v>
      </c>
      <c r="B44" s="7" t="s">
        <v>13</v>
      </c>
      <c r="C44" s="8" t="s">
        <v>14</v>
      </c>
      <c r="D44" s="8" t="s">
        <v>15</v>
      </c>
      <c r="E44" s="8" t="s">
        <v>16</v>
      </c>
    </row>
    <row r="45" spans="1:5" ht="16.5" customHeight="1" x14ac:dyDescent="0.3">
      <c r="A45" s="9">
        <v>1</v>
      </c>
      <c r="B45" s="10">
        <v>39331054</v>
      </c>
      <c r="C45" s="10">
        <v>11990.74</v>
      </c>
      <c r="D45" s="11">
        <v>1.19</v>
      </c>
      <c r="E45" s="12">
        <v>5.04</v>
      </c>
    </row>
    <row r="46" spans="1:5" ht="16.5" customHeight="1" x14ac:dyDescent="0.3">
      <c r="A46" s="9">
        <v>2</v>
      </c>
      <c r="B46" s="10">
        <v>39187212</v>
      </c>
      <c r="C46" s="10">
        <v>11852.69</v>
      </c>
      <c r="D46" s="11">
        <v>1.18</v>
      </c>
      <c r="E46" s="11">
        <v>5.07</v>
      </c>
    </row>
    <row r="47" spans="1:5" ht="16.5" customHeight="1" x14ac:dyDescent="0.3">
      <c r="A47" s="9">
        <v>3</v>
      </c>
      <c r="B47" s="10">
        <v>39165231</v>
      </c>
      <c r="C47" s="10">
        <v>11798.91</v>
      </c>
      <c r="D47" s="11">
        <v>1.17</v>
      </c>
      <c r="E47" s="11">
        <v>5.09</v>
      </c>
    </row>
    <row r="48" spans="1:5" ht="16.5" customHeight="1" x14ac:dyDescent="0.3">
      <c r="A48" s="9">
        <v>4</v>
      </c>
      <c r="B48" s="10">
        <v>39221936</v>
      </c>
      <c r="C48" s="10">
        <v>11883.45</v>
      </c>
      <c r="D48" s="11">
        <v>1.18</v>
      </c>
      <c r="E48" s="11">
        <v>5.09</v>
      </c>
    </row>
    <row r="49" spans="1:7" ht="16.5" customHeight="1" x14ac:dyDescent="0.3">
      <c r="A49" s="9">
        <v>5</v>
      </c>
      <c r="B49" s="10">
        <v>38952159</v>
      </c>
      <c r="C49" s="10">
        <v>11907.67</v>
      </c>
      <c r="D49" s="11">
        <v>1.19</v>
      </c>
      <c r="E49" s="11">
        <v>5.0999999999999996</v>
      </c>
    </row>
    <row r="50" spans="1:7" ht="16.5" customHeight="1" x14ac:dyDescent="0.3">
      <c r="A50" s="9">
        <v>6</v>
      </c>
      <c r="B50" s="13">
        <v>38985268</v>
      </c>
      <c r="C50" s="13">
        <v>11824.08</v>
      </c>
      <c r="D50" s="14">
        <v>1.1399999999999999</v>
      </c>
      <c r="E50" s="14">
        <v>5.1100000000000003</v>
      </c>
    </row>
    <row r="51" spans="1:7" ht="16.5" customHeight="1" x14ac:dyDescent="0.3">
      <c r="A51" s="15" t="s">
        <v>17</v>
      </c>
      <c r="B51" s="16">
        <f>AVERAGE(B45:B50)</f>
        <v>39140476.666666664</v>
      </c>
      <c r="C51" s="17">
        <f>AVERAGE(C45:C50)</f>
        <v>11876.256666666666</v>
      </c>
      <c r="D51" s="18">
        <f>AVERAGE(D45:D50)</f>
        <v>1.175</v>
      </c>
      <c r="E51" s="18">
        <f>AVERAGE(E45:E50)</f>
        <v>5.083333333333333</v>
      </c>
    </row>
    <row r="52" spans="1:7" ht="16.5" customHeight="1" x14ac:dyDescent="0.3">
      <c r="A52" s="19" t="s">
        <v>18</v>
      </c>
      <c r="B52" s="20">
        <f>(STDEV(B45:B50)/B51)</f>
        <v>3.7077854029088459E-3</v>
      </c>
      <c r="C52" s="21"/>
      <c r="D52" s="21"/>
      <c r="E52" s="22"/>
    </row>
    <row r="53" spans="1:7" s="190" customFormat="1" ht="16.5" customHeight="1" x14ac:dyDescent="0.3">
      <c r="A53" s="23" t="s">
        <v>19</v>
      </c>
      <c r="B53" s="24">
        <f>COUNT(B45:B50)</f>
        <v>6</v>
      </c>
      <c r="C53" s="25"/>
      <c r="D53" s="58"/>
      <c r="E53" s="26"/>
    </row>
    <row r="54" spans="1:7" s="190" customFormat="1" ht="15.75" customHeight="1" x14ac:dyDescent="0.25">
      <c r="A54" s="57"/>
      <c r="B54" s="57"/>
      <c r="C54" s="57"/>
      <c r="D54" s="57"/>
      <c r="E54" s="57"/>
    </row>
    <row r="55" spans="1:7" s="190" customFormat="1" ht="16.5" customHeight="1" x14ac:dyDescent="0.3">
      <c r="A55" s="60" t="s">
        <v>20</v>
      </c>
      <c r="B55" s="28" t="s">
        <v>21</v>
      </c>
      <c r="C55" s="27"/>
      <c r="D55" s="27"/>
      <c r="E55" s="27"/>
    </row>
    <row r="56" spans="1:7" ht="16.5" customHeight="1" x14ac:dyDescent="0.3">
      <c r="A56" s="60"/>
      <c r="B56" s="28" t="s">
        <v>22</v>
      </c>
      <c r="C56" s="27"/>
      <c r="D56" s="27"/>
      <c r="E56" s="27"/>
    </row>
    <row r="57" spans="1:7" ht="16.5" customHeight="1" x14ac:dyDescent="0.3">
      <c r="A57" s="60"/>
      <c r="B57" s="28" t="s">
        <v>23</v>
      </c>
      <c r="C57" s="27"/>
      <c r="D57" s="27"/>
      <c r="E57" s="27"/>
    </row>
    <row r="58" spans="1:7" ht="14.25" customHeight="1" thickBot="1" x14ac:dyDescent="0.3">
      <c r="A58" s="29"/>
      <c r="B58" s="125"/>
      <c r="D58" s="30"/>
      <c r="F58" s="31"/>
      <c r="G58" s="31"/>
    </row>
    <row r="59" spans="1:7" ht="15" customHeight="1" x14ac:dyDescent="0.3">
      <c r="B59" s="262" t="s">
        <v>24</v>
      </c>
      <c r="C59" s="262"/>
      <c r="E59" s="247" t="s">
        <v>25</v>
      </c>
      <c r="F59" s="32"/>
      <c r="G59" s="247" t="s">
        <v>26</v>
      </c>
    </row>
    <row r="60" spans="1:7" ht="15" customHeight="1" x14ac:dyDescent="0.3">
      <c r="A60" s="33" t="s">
        <v>27</v>
      </c>
      <c r="B60" s="34"/>
      <c r="C60" s="34"/>
      <c r="E60" s="34"/>
      <c r="G60" s="34"/>
    </row>
    <row r="61" spans="1:7" ht="15" customHeight="1" x14ac:dyDescent="0.3">
      <c r="A61" s="33" t="s">
        <v>28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6" workbookViewId="0">
      <selection activeCell="B37" sqref="B37"/>
    </sheetView>
  </sheetViews>
  <sheetFormatPr defaultRowHeight="13.5" x14ac:dyDescent="0.25"/>
  <cols>
    <col min="1" max="1" width="27.5703125" style="190" customWidth="1"/>
    <col min="2" max="2" width="20.42578125" style="190" customWidth="1"/>
    <col min="3" max="3" width="31.85546875" style="190" customWidth="1"/>
    <col min="4" max="4" width="25.85546875" style="190" customWidth="1"/>
    <col min="5" max="5" width="25.7109375" style="190" customWidth="1"/>
    <col min="6" max="6" width="23.140625" style="190" customWidth="1"/>
    <col min="7" max="7" width="28.42578125" style="190" customWidth="1"/>
    <col min="8" max="8" width="21.5703125" style="190" customWidth="1"/>
    <col min="9" max="9" width="9.140625" style="190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61" t="s">
        <v>0</v>
      </c>
      <c r="B15" s="261"/>
      <c r="C15" s="261"/>
      <c r="D15" s="261"/>
      <c r="E15" s="261"/>
    </row>
    <row r="16" spans="1:6" ht="16.5" customHeight="1" x14ac:dyDescent="0.3">
      <c r="A16" s="75" t="s">
        <v>1</v>
      </c>
      <c r="B16" s="44" t="s">
        <v>125</v>
      </c>
    </row>
    <row r="17" spans="1:5" ht="16.5" customHeight="1" x14ac:dyDescent="0.3">
      <c r="A17" s="3" t="s">
        <v>2</v>
      </c>
      <c r="B17" s="3" t="s">
        <v>4</v>
      </c>
      <c r="D17" s="4"/>
      <c r="E17" s="57"/>
    </row>
    <row r="18" spans="1:5" ht="16.5" customHeight="1" x14ac:dyDescent="0.3">
      <c r="A18" s="60" t="s">
        <v>3</v>
      </c>
      <c r="B18" s="3" t="s">
        <v>124</v>
      </c>
      <c r="C18" s="57"/>
      <c r="D18" s="57"/>
      <c r="E18" s="57"/>
    </row>
    <row r="19" spans="1:5" ht="16.5" customHeight="1" x14ac:dyDescent="0.3">
      <c r="A19" s="60" t="s">
        <v>5</v>
      </c>
      <c r="B19" s="5">
        <v>86.6</v>
      </c>
      <c r="C19" s="57"/>
      <c r="D19" s="57"/>
      <c r="E19" s="57"/>
    </row>
    <row r="20" spans="1:5" ht="16.5" customHeight="1" x14ac:dyDescent="0.3">
      <c r="A20" s="3" t="s">
        <v>7</v>
      </c>
      <c r="B20" s="5">
        <v>19.95</v>
      </c>
      <c r="C20" s="57"/>
      <c r="D20" s="57"/>
      <c r="E20" s="57"/>
    </row>
    <row r="21" spans="1:5" ht="16.5" customHeight="1" x14ac:dyDescent="0.3">
      <c r="A21" s="3" t="s">
        <v>9</v>
      </c>
      <c r="B21" s="6">
        <v>0.5</v>
      </c>
      <c r="C21" s="57"/>
      <c r="D21" s="57"/>
      <c r="E21" s="57"/>
    </row>
    <row r="22" spans="1:5" ht="15.75" customHeight="1" x14ac:dyDescent="0.25">
      <c r="A22" s="57"/>
      <c r="B22" s="57"/>
      <c r="C22" s="57"/>
      <c r="D22" s="57"/>
      <c r="E22" s="57"/>
    </row>
    <row r="23" spans="1:5" ht="16.5" customHeight="1" x14ac:dyDescent="0.3">
      <c r="A23" s="8" t="s">
        <v>12</v>
      </c>
      <c r="B23" s="7" t="s">
        <v>13</v>
      </c>
      <c r="C23" s="8" t="s">
        <v>14</v>
      </c>
      <c r="D23" s="8" t="s">
        <v>15</v>
      </c>
      <c r="E23" s="8" t="s">
        <v>16</v>
      </c>
    </row>
    <row r="24" spans="1:5" ht="16.5" customHeight="1" x14ac:dyDescent="0.3">
      <c r="A24" s="9">
        <v>1</v>
      </c>
      <c r="B24" s="10">
        <v>211539151</v>
      </c>
      <c r="C24" s="10">
        <v>8950.5</v>
      </c>
      <c r="D24" s="11">
        <v>0.8</v>
      </c>
      <c r="E24" s="12">
        <v>8.6999999999999993</v>
      </c>
    </row>
    <row r="25" spans="1:5" ht="16.5" customHeight="1" x14ac:dyDescent="0.3">
      <c r="A25" s="9">
        <v>2</v>
      </c>
      <c r="B25" s="10">
        <v>211063548</v>
      </c>
      <c r="C25" s="10">
        <v>8396.2000000000007</v>
      </c>
      <c r="D25" s="11">
        <v>0.9</v>
      </c>
      <c r="E25" s="11">
        <v>8.5</v>
      </c>
    </row>
    <row r="26" spans="1:5" ht="16.5" customHeight="1" x14ac:dyDescent="0.3">
      <c r="A26" s="9">
        <v>3</v>
      </c>
      <c r="B26" s="10">
        <v>211150334</v>
      </c>
      <c r="C26" s="10">
        <v>8472</v>
      </c>
      <c r="D26" s="11">
        <v>0.9</v>
      </c>
      <c r="E26" s="11">
        <v>8.5</v>
      </c>
    </row>
    <row r="27" spans="1:5" ht="16.5" customHeight="1" x14ac:dyDescent="0.3">
      <c r="A27" s="9">
        <v>4</v>
      </c>
      <c r="B27" s="10">
        <v>211357268</v>
      </c>
      <c r="C27" s="10">
        <v>8381.1</v>
      </c>
      <c r="D27" s="11">
        <v>0.9</v>
      </c>
      <c r="E27" s="11">
        <v>8.5</v>
      </c>
    </row>
    <row r="28" spans="1:5" ht="16.5" customHeight="1" x14ac:dyDescent="0.3">
      <c r="A28" s="9">
        <v>5</v>
      </c>
      <c r="B28" s="10">
        <v>211300880</v>
      </c>
      <c r="C28" s="10">
        <v>8471.5</v>
      </c>
      <c r="D28" s="11">
        <v>0.8</v>
      </c>
      <c r="E28" s="11">
        <v>8.5</v>
      </c>
    </row>
    <row r="29" spans="1:5" ht="16.5" customHeight="1" x14ac:dyDescent="0.3">
      <c r="A29" s="9">
        <v>6</v>
      </c>
      <c r="B29" s="13">
        <v>211368957</v>
      </c>
      <c r="C29" s="13">
        <v>8452.4</v>
      </c>
      <c r="D29" s="14">
        <v>0.9</v>
      </c>
      <c r="E29" s="14">
        <v>8.5</v>
      </c>
    </row>
    <row r="30" spans="1:5" ht="16.5" customHeight="1" x14ac:dyDescent="0.3">
      <c r="A30" s="15" t="s">
        <v>17</v>
      </c>
      <c r="B30" s="16">
        <f>AVERAGE(B24:B29)</f>
        <v>211296689.66666666</v>
      </c>
      <c r="C30" s="17">
        <f>AVERAGE(C24:C29)</f>
        <v>8520.6166666666668</v>
      </c>
      <c r="D30" s="18">
        <f>AVERAGE(D24:D29)</f>
        <v>0.8666666666666667</v>
      </c>
      <c r="E30" s="18">
        <f>AVERAGE(E24:E29)</f>
        <v>8.5333333333333332</v>
      </c>
    </row>
    <row r="31" spans="1:5" ht="16.5" customHeight="1" x14ac:dyDescent="0.3">
      <c r="A31" s="19" t="s">
        <v>18</v>
      </c>
      <c r="B31" s="20">
        <f>(STDEV(B24:B29)/B30)</f>
        <v>8.0168997223353973E-4</v>
      </c>
      <c r="C31" s="21"/>
      <c r="D31" s="21"/>
      <c r="E31" s="22"/>
    </row>
    <row r="32" spans="1:5" s="190" customFormat="1" ht="16.5" customHeight="1" x14ac:dyDescent="0.3">
      <c r="A32" s="23" t="s">
        <v>19</v>
      </c>
      <c r="B32" s="24">
        <f>COUNT(B24:B29)</f>
        <v>6</v>
      </c>
      <c r="C32" s="25"/>
      <c r="D32" s="58"/>
      <c r="E32" s="26"/>
    </row>
    <row r="33" spans="1:6" s="190" customFormat="1" ht="15.75" customHeight="1" x14ac:dyDescent="0.25">
      <c r="A33" s="57"/>
      <c r="B33" s="57"/>
      <c r="C33" s="57"/>
      <c r="D33" s="57"/>
      <c r="E33" s="57"/>
    </row>
    <row r="34" spans="1:6" s="190" customFormat="1" ht="16.5" customHeight="1" x14ac:dyDescent="0.3">
      <c r="A34" s="60" t="s">
        <v>20</v>
      </c>
      <c r="B34" s="28" t="s">
        <v>21</v>
      </c>
      <c r="C34" s="27"/>
      <c r="D34" s="27"/>
      <c r="E34" s="27"/>
    </row>
    <row r="35" spans="1:6" ht="16.5" customHeight="1" x14ac:dyDescent="0.3">
      <c r="A35" s="60"/>
      <c r="B35" s="28" t="s">
        <v>22</v>
      </c>
      <c r="C35" s="27"/>
      <c r="D35" s="27"/>
      <c r="E35" s="27"/>
    </row>
    <row r="36" spans="1:6" ht="16.5" customHeight="1" x14ac:dyDescent="0.3">
      <c r="A36" s="60"/>
      <c r="B36" s="28" t="s">
        <v>132</v>
      </c>
      <c r="C36" s="27"/>
      <c r="D36" s="27"/>
      <c r="E36" s="27"/>
    </row>
    <row r="37" spans="1:6" ht="15.75" customHeight="1" x14ac:dyDescent="0.25">
      <c r="A37" s="57"/>
      <c r="B37" s="57"/>
      <c r="C37" s="57"/>
      <c r="D37" s="57"/>
      <c r="E37" s="57"/>
    </row>
    <row r="38" spans="1:6" ht="16.5" customHeight="1" x14ac:dyDescent="0.3">
      <c r="A38" s="75" t="s">
        <v>1</v>
      </c>
      <c r="B38" s="44" t="s">
        <v>126</v>
      </c>
    </row>
    <row r="39" spans="1:6" ht="16.5" customHeight="1" x14ac:dyDescent="0.3">
      <c r="A39" s="60" t="s">
        <v>3</v>
      </c>
      <c r="B39" s="3" t="s">
        <v>127</v>
      </c>
      <c r="C39" s="57"/>
      <c r="D39" s="57"/>
      <c r="E39" s="57"/>
    </row>
    <row r="40" spans="1:6" ht="16.5" customHeight="1" x14ac:dyDescent="0.3">
      <c r="A40" s="60" t="s">
        <v>5</v>
      </c>
      <c r="B40" s="5">
        <v>96.4</v>
      </c>
      <c r="C40" s="57"/>
      <c r="D40" s="57"/>
      <c r="E40" s="57"/>
    </row>
    <row r="41" spans="1:6" ht="16.5" customHeight="1" x14ac:dyDescent="0.3">
      <c r="A41" s="3" t="s">
        <v>7</v>
      </c>
      <c r="B41" s="5">
        <v>10.28</v>
      </c>
      <c r="C41" s="57"/>
      <c r="D41" s="57"/>
      <c r="E41" s="57"/>
    </row>
    <row r="42" spans="1:6" ht="16.5" customHeight="1" x14ac:dyDescent="0.3">
      <c r="A42" s="3" t="s">
        <v>9</v>
      </c>
      <c r="B42" s="6">
        <v>0.14860000000000001</v>
      </c>
      <c r="C42" s="57"/>
      <c r="D42" s="57"/>
      <c r="E42" s="57"/>
    </row>
    <row r="43" spans="1:6" ht="15.75" customHeight="1" x14ac:dyDescent="0.25">
      <c r="A43" s="57"/>
      <c r="B43" s="57"/>
      <c r="C43" s="57"/>
      <c r="D43" s="57"/>
      <c r="E43" s="57"/>
    </row>
    <row r="44" spans="1:6" ht="16.5" customHeight="1" x14ac:dyDescent="0.3">
      <c r="A44" s="8" t="s">
        <v>12</v>
      </c>
      <c r="B44" s="7" t="s">
        <v>13</v>
      </c>
      <c r="C44" s="8" t="s">
        <v>14</v>
      </c>
      <c r="D44" s="8" t="s">
        <v>15</v>
      </c>
      <c r="E44" s="8" t="s">
        <v>16</v>
      </c>
      <c r="F44" s="8" t="s">
        <v>130</v>
      </c>
    </row>
    <row r="45" spans="1:6" ht="16.5" customHeight="1" x14ac:dyDescent="0.3">
      <c r="A45" s="9">
        <v>1</v>
      </c>
      <c r="B45" s="10">
        <v>82469442</v>
      </c>
      <c r="C45" s="10">
        <v>10111.1</v>
      </c>
      <c r="D45" s="11">
        <v>1.1000000000000001</v>
      </c>
      <c r="E45" s="12">
        <v>5.4</v>
      </c>
      <c r="F45" s="12">
        <v>11.3</v>
      </c>
    </row>
    <row r="46" spans="1:6" ht="16.5" customHeight="1" x14ac:dyDescent="0.3">
      <c r="A46" s="9">
        <v>2</v>
      </c>
      <c r="B46" s="10">
        <v>82127333</v>
      </c>
      <c r="C46" s="10">
        <v>8939</v>
      </c>
      <c r="D46" s="11">
        <v>1.2</v>
      </c>
      <c r="E46" s="11">
        <v>5.2</v>
      </c>
      <c r="F46" s="11">
        <v>11.3</v>
      </c>
    </row>
    <row r="47" spans="1:6" ht="16.5" customHeight="1" x14ac:dyDescent="0.3">
      <c r="A47" s="9">
        <v>3</v>
      </c>
      <c r="B47" s="10">
        <v>82256330</v>
      </c>
      <c r="C47" s="10">
        <v>8956.4</v>
      </c>
      <c r="D47" s="11">
        <v>1.2</v>
      </c>
      <c r="E47" s="11">
        <v>5.2</v>
      </c>
      <c r="F47" s="11">
        <v>11.3</v>
      </c>
    </row>
    <row r="48" spans="1:6" ht="16.5" customHeight="1" x14ac:dyDescent="0.3">
      <c r="A48" s="9">
        <v>4</v>
      </c>
      <c r="B48" s="10">
        <v>82348695</v>
      </c>
      <c r="C48" s="10">
        <v>8923</v>
      </c>
      <c r="D48" s="11">
        <v>1.2</v>
      </c>
      <c r="E48" s="11">
        <v>5.2</v>
      </c>
      <c r="F48" s="11">
        <v>11.2</v>
      </c>
    </row>
    <row r="49" spans="1:7" ht="16.5" customHeight="1" x14ac:dyDescent="0.3">
      <c r="A49" s="9">
        <v>5</v>
      </c>
      <c r="B49" s="10">
        <v>82367724</v>
      </c>
      <c r="C49" s="10">
        <v>8905.1</v>
      </c>
      <c r="D49" s="11">
        <v>1.2</v>
      </c>
      <c r="E49" s="11">
        <v>5.2</v>
      </c>
      <c r="F49" s="11">
        <v>11.3</v>
      </c>
    </row>
    <row r="50" spans="1:7" ht="16.5" customHeight="1" x14ac:dyDescent="0.3">
      <c r="A50" s="9">
        <v>6</v>
      </c>
      <c r="B50" s="13">
        <v>82436853</v>
      </c>
      <c r="C50" s="13">
        <v>8906</v>
      </c>
      <c r="D50" s="14">
        <v>1.2</v>
      </c>
      <c r="E50" s="14">
        <v>5.2</v>
      </c>
      <c r="F50" s="14">
        <v>11.2</v>
      </c>
    </row>
    <row r="51" spans="1:7" ht="16.5" customHeight="1" x14ac:dyDescent="0.3">
      <c r="A51" s="15" t="s">
        <v>17</v>
      </c>
      <c r="B51" s="16">
        <f>AVERAGE(B45:B50)</f>
        <v>82334396.166666672</v>
      </c>
      <c r="C51" s="17">
        <f>AVERAGE(C45:C50)</f>
        <v>9123.4333333333325</v>
      </c>
      <c r="D51" s="18">
        <f>AVERAGE(D45:D50)</f>
        <v>1.1833333333333333</v>
      </c>
      <c r="E51" s="18">
        <f>AVERAGE(E45:E50)</f>
        <v>5.2333333333333334</v>
      </c>
      <c r="F51" s="18">
        <f>AVERAGE(F45:F50)</f>
        <v>11.266666666666667</v>
      </c>
    </row>
    <row r="52" spans="1:7" ht="16.5" customHeight="1" x14ac:dyDescent="0.3">
      <c r="A52" s="19" t="s">
        <v>18</v>
      </c>
      <c r="B52" s="20">
        <f>(STDEV(B45:B50)/B51)</f>
        <v>1.5268653096854421E-3</v>
      </c>
      <c r="C52" s="21"/>
      <c r="D52" s="21"/>
      <c r="E52" s="22"/>
      <c r="F52" s="22"/>
    </row>
    <row r="53" spans="1:7" s="190" customFormat="1" ht="16.5" customHeight="1" x14ac:dyDescent="0.3">
      <c r="A53" s="23" t="s">
        <v>19</v>
      </c>
      <c r="B53" s="24">
        <f>COUNT(B45:B50)</f>
        <v>6</v>
      </c>
      <c r="C53" s="25"/>
      <c r="D53" s="58"/>
      <c r="E53" s="26"/>
      <c r="F53" s="26"/>
    </row>
    <row r="54" spans="1:7" s="190" customFormat="1" ht="15.75" customHeight="1" x14ac:dyDescent="0.25">
      <c r="A54" s="57"/>
      <c r="B54" s="57"/>
      <c r="C54" s="57"/>
      <c r="D54" s="57"/>
      <c r="E54" s="57"/>
    </row>
    <row r="55" spans="1:7" s="190" customFormat="1" ht="16.5" customHeight="1" x14ac:dyDescent="0.3">
      <c r="A55" s="60" t="s">
        <v>20</v>
      </c>
      <c r="B55" s="28" t="s">
        <v>21</v>
      </c>
      <c r="C55" s="27"/>
      <c r="D55" s="27"/>
      <c r="E55" s="27"/>
    </row>
    <row r="56" spans="1:7" ht="16.5" customHeight="1" x14ac:dyDescent="0.3">
      <c r="A56" s="60"/>
      <c r="B56" s="28" t="s">
        <v>22</v>
      </c>
      <c r="C56" s="27"/>
      <c r="D56" s="27"/>
      <c r="E56" s="27"/>
    </row>
    <row r="57" spans="1:7" ht="16.5" customHeight="1" x14ac:dyDescent="0.3">
      <c r="A57" s="60"/>
      <c r="B57" s="28" t="s">
        <v>132</v>
      </c>
      <c r="C57" s="27"/>
      <c r="D57" s="27"/>
      <c r="E57" s="27"/>
    </row>
    <row r="58" spans="1:7" ht="19.5" customHeight="1" thickBot="1" x14ac:dyDescent="0.35">
      <c r="A58" s="29"/>
      <c r="B58" s="28" t="s">
        <v>131</v>
      </c>
      <c r="D58" s="30"/>
      <c r="F58" s="31"/>
      <c r="G58" s="31"/>
    </row>
    <row r="59" spans="1:7" ht="15" customHeight="1" x14ac:dyDescent="0.3">
      <c r="B59" s="262" t="s">
        <v>24</v>
      </c>
      <c r="C59" s="262"/>
      <c r="E59" s="247" t="s">
        <v>25</v>
      </c>
      <c r="F59" s="32"/>
      <c r="G59" s="247" t="s">
        <v>26</v>
      </c>
    </row>
    <row r="60" spans="1:7" ht="15" customHeight="1" x14ac:dyDescent="0.3">
      <c r="A60" s="33" t="s">
        <v>27</v>
      </c>
      <c r="B60" s="34"/>
      <c r="C60" s="34"/>
      <c r="E60" s="34"/>
      <c r="G60" s="34"/>
    </row>
    <row r="61" spans="1:7" ht="15" customHeight="1" x14ac:dyDescent="0.3">
      <c r="A61" s="33" t="s">
        <v>28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4" zoomScale="80" zoomScaleSheetLayoutView="80" workbookViewId="0">
      <selection activeCell="E45" sqref="E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6" t="s">
        <v>29</v>
      </c>
      <c r="B11" s="267"/>
      <c r="C11" s="267"/>
      <c r="D11" s="267"/>
      <c r="E11" s="267"/>
      <c r="F11" s="268"/>
      <c r="G11" s="76"/>
    </row>
    <row r="12" spans="1:7" ht="16.5" customHeight="1" x14ac:dyDescent="0.3">
      <c r="A12" s="265" t="s">
        <v>30</v>
      </c>
      <c r="B12" s="265"/>
      <c r="C12" s="265"/>
      <c r="D12" s="265"/>
      <c r="E12" s="265"/>
      <c r="F12" s="265"/>
      <c r="G12" s="75"/>
    </row>
    <row r="14" spans="1:7" ht="16.5" customHeight="1" x14ac:dyDescent="0.3">
      <c r="A14" s="270" t="s">
        <v>31</v>
      </c>
      <c r="B14" s="270"/>
      <c r="C14" s="45" t="s">
        <v>4</v>
      </c>
    </row>
    <row r="15" spans="1:7" ht="16.5" customHeight="1" x14ac:dyDescent="0.3">
      <c r="A15" s="270" t="s">
        <v>32</v>
      </c>
      <c r="B15" s="270"/>
      <c r="C15" s="45" t="s">
        <v>6</v>
      </c>
    </row>
    <row r="16" spans="1:7" ht="16.5" customHeight="1" x14ac:dyDescent="0.3">
      <c r="A16" s="270" t="s">
        <v>33</v>
      </c>
      <c r="B16" s="270"/>
      <c r="C16" s="45" t="s">
        <v>8</v>
      </c>
    </row>
    <row r="17" spans="1:5" ht="16.5" customHeight="1" x14ac:dyDescent="0.3">
      <c r="A17" s="270" t="s">
        <v>34</v>
      </c>
      <c r="B17" s="270"/>
      <c r="C17" s="45" t="s">
        <v>10</v>
      </c>
    </row>
    <row r="18" spans="1:5" ht="16.5" customHeight="1" x14ac:dyDescent="0.3">
      <c r="A18" s="270" t="s">
        <v>35</v>
      </c>
      <c r="B18" s="270"/>
      <c r="C18" s="82" t="s">
        <v>11</v>
      </c>
    </row>
    <row r="19" spans="1:5" ht="16.5" customHeight="1" x14ac:dyDescent="0.3">
      <c r="A19" s="270" t="s">
        <v>36</v>
      </c>
      <c r="B19" s="270"/>
      <c r="C19" s="82" t="e">
        <f>#REF!</f>
        <v>#REF!</v>
      </c>
    </row>
    <row r="20" spans="1:5" ht="16.5" customHeight="1" x14ac:dyDescent="0.3">
      <c r="A20" s="47"/>
      <c r="B20" s="47"/>
      <c r="C20" s="62"/>
    </row>
    <row r="21" spans="1:5" ht="16.5" customHeight="1" x14ac:dyDescent="0.3">
      <c r="A21" s="265" t="s">
        <v>1</v>
      </c>
      <c r="B21" s="265"/>
      <c r="C21" s="44" t="s">
        <v>37</v>
      </c>
      <c r="D21" s="51"/>
    </row>
    <row r="22" spans="1:5" ht="15.75" customHeight="1" x14ac:dyDescent="0.3">
      <c r="A22" s="269"/>
      <c r="B22" s="269"/>
      <c r="C22" s="42"/>
      <c r="D22" s="269"/>
      <c r="E22" s="269"/>
    </row>
    <row r="23" spans="1:5" ht="33.75" customHeight="1" x14ac:dyDescent="0.3">
      <c r="C23" s="71" t="s">
        <v>38</v>
      </c>
      <c r="D23" s="70" t="s">
        <v>39</v>
      </c>
      <c r="E23" s="37"/>
    </row>
    <row r="24" spans="1:5" ht="15.75" customHeight="1" x14ac:dyDescent="0.3">
      <c r="C24" s="80">
        <v>1203.8800000000001</v>
      </c>
      <c r="D24" s="72">
        <f t="shared" ref="D24:D43" si="0">(C24-$C$46)/$C$46</f>
        <v>1.1988139102335467E-3</v>
      </c>
      <c r="E24" s="38"/>
    </row>
    <row r="25" spans="1:5" ht="15.75" customHeight="1" x14ac:dyDescent="0.3">
      <c r="C25" s="80">
        <v>1221.72</v>
      </c>
      <c r="D25" s="73">
        <f t="shared" si="0"/>
        <v>1.6035331536706686E-2</v>
      </c>
      <c r="E25" s="38"/>
    </row>
    <row r="26" spans="1:5" ht="15.75" customHeight="1" x14ac:dyDescent="0.3">
      <c r="C26" s="80">
        <v>1190.6500000000001</v>
      </c>
      <c r="D26" s="73">
        <f t="shared" si="0"/>
        <v>-9.8038278049144799E-3</v>
      </c>
      <c r="E26" s="38"/>
    </row>
    <row r="27" spans="1:5" ht="15.75" customHeight="1" x14ac:dyDescent="0.3">
      <c r="C27" s="80">
        <v>1212.22</v>
      </c>
      <c r="D27" s="73">
        <f t="shared" si="0"/>
        <v>8.1347195719367604E-3</v>
      </c>
      <c r="E27" s="38"/>
    </row>
    <row r="28" spans="1:5" ht="15.75" customHeight="1" x14ac:dyDescent="0.3">
      <c r="C28" s="80">
        <v>1205.75</v>
      </c>
      <c r="D28" s="73">
        <f t="shared" si="0"/>
        <v>2.7539870022460621E-3</v>
      </c>
      <c r="E28" s="38"/>
    </row>
    <row r="29" spans="1:5" ht="15.75" customHeight="1" x14ac:dyDescent="0.3">
      <c r="C29" s="80">
        <v>1207.74</v>
      </c>
      <c r="D29" s="73">
        <f t="shared" si="0"/>
        <v>4.4089572980241911E-3</v>
      </c>
      <c r="E29" s="38"/>
    </row>
    <row r="30" spans="1:5" ht="15.75" customHeight="1" x14ac:dyDescent="0.3">
      <c r="C30" s="80">
        <v>1194.69</v>
      </c>
      <c r="D30" s="73">
        <f t="shared" si="0"/>
        <v>-6.4439886114755112E-3</v>
      </c>
      <c r="E30" s="38"/>
    </row>
    <row r="31" spans="1:5" ht="15.75" customHeight="1" x14ac:dyDescent="0.3">
      <c r="C31" s="80">
        <v>1192.9000000000001</v>
      </c>
      <c r="D31" s="73">
        <f t="shared" si="0"/>
        <v>-7.932630234311077E-3</v>
      </c>
      <c r="E31" s="38"/>
    </row>
    <row r="32" spans="1:5" ht="15.75" customHeight="1" x14ac:dyDescent="0.3">
      <c r="C32" s="80">
        <v>1214.1400000000001</v>
      </c>
      <c r="D32" s="73">
        <f t="shared" si="0"/>
        <v>9.7314748321850591E-3</v>
      </c>
      <c r="E32" s="38"/>
    </row>
    <row r="33" spans="1:7" ht="15.75" customHeight="1" x14ac:dyDescent="0.3">
      <c r="C33" s="80">
        <v>1185.43</v>
      </c>
      <c r="D33" s="73">
        <f t="shared" si="0"/>
        <v>-1.4145006168714398E-2</v>
      </c>
      <c r="E33" s="38"/>
    </row>
    <row r="34" spans="1:7" ht="15.75" customHeight="1" x14ac:dyDescent="0.3">
      <c r="C34" s="80">
        <v>1200.49</v>
      </c>
      <c r="D34" s="73">
        <f t="shared" si="0"/>
        <v>-1.6204570961423309E-3</v>
      </c>
      <c r="E34" s="38"/>
    </row>
    <row r="35" spans="1:7" ht="15.75" customHeight="1" x14ac:dyDescent="0.3">
      <c r="C35" s="80">
        <v>1204.51</v>
      </c>
      <c r="D35" s="73">
        <f t="shared" si="0"/>
        <v>1.7227492300024012E-3</v>
      </c>
      <c r="E35" s="38"/>
    </row>
    <row r="36" spans="1:7" ht="15.75" customHeight="1" x14ac:dyDescent="0.3">
      <c r="C36" s="80">
        <v>1213.4000000000001</v>
      </c>
      <c r="D36" s="73">
        <f t="shared" si="0"/>
        <v>9.1160587422977092E-3</v>
      </c>
      <c r="E36" s="38"/>
    </row>
    <row r="37" spans="1:7" ht="15.75" customHeight="1" x14ac:dyDescent="0.3">
      <c r="C37" s="80">
        <v>1184.1099999999999</v>
      </c>
      <c r="D37" s="73">
        <f t="shared" si="0"/>
        <v>-1.5242775410135198E-2</v>
      </c>
      <c r="E37" s="38"/>
    </row>
    <row r="38" spans="1:7" ht="15.75" customHeight="1" x14ac:dyDescent="0.3">
      <c r="C38" s="80">
        <v>1195.01</v>
      </c>
      <c r="D38" s="73">
        <f t="shared" si="0"/>
        <v>-6.1778627347675238E-3</v>
      </c>
      <c r="E38" s="38"/>
    </row>
    <row r="39" spans="1:7" ht="15.75" customHeight="1" x14ac:dyDescent="0.3">
      <c r="C39" s="80">
        <v>1200.03</v>
      </c>
      <c r="D39" s="73">
        <f t="shared" si="0"/>
        <v>-2.0030130439101681E-3</v>
      </c>
      <c r="E39" s="38"/>
    </row>
    <row r="40" spans="1:7" ht="15.75" customHeight="1" x14ac:dyDescent="0.3">
      <c r="C40" s="80">
        <v>1193.21</v>
      </c>
      <c r="D40" s="73">
        <f t="shared" si="0"/>
        <v>-7.6748207912502092E-3</v>
      </c>
      <c r="E40" s="38"/>
    </row>
    <row r="41" spans="1:7" ht="15.75" customHeight="1" x14ac:dyDescent="0.3">
      <c r="C41" s="80">
        <v>1220.6400000000001</v>
      </c>
      <c r="D41" s="73">
        <f t="shared" si="0"/>
        <v>1.5137156702817112E-2</v>
      </c>
      <c r="E41" s="38"/>
    </row>
    <row r="42" spans="1:7" ht="15.75" customHeight="1" x14ac:dyDescent="0.3">
      <c r="C42" s="80">
        <v>1196.42</v>
      </c>
      <c r="D42" s="73">
        <f t="shared" si="0"/>
        <v>-5.005245590522657E-3</v>
      </c>
      <c r="E42" s="38"/>
    </row>
    <row r="43" spans="1:7" ht="16.5" customHeight="1" x14ac:dyDescent="0.3">
      <c r="C43" s="81">
        <v>1211.83</v>
      </c>
      <c r="D43" s="74">
        <f t="shared" si="0"/>
        <v>7.8103786596987537E-3</v>
      </c>
      <c r="E43" s="38"/>
    </row>
    <row r="44" spans="1:7" ht="16.5" customHeight="1" x14ac:dyDescent="0.3">
      <c r="C44" s="39"/>
      <c r="D44" s="38"/>
      <c r="E44" s="40"/>
    </row>
    <row r="45" spans="1:7" ht="16.5" customHeight="1" x14ac:dyDescent="0.3">
      <c r="B45" s="67" t="s">
        <v>40</v>
      </c>
      <c r="C45" s="68">
        <f>SUM(C24:C44)</f>
        <v>24048.769999999997</v>
      </c>
      <c r="D45" s="63"/>
      <c r="E45" s="39"/>
    </row>
    <row r="46" spans="1:7" ht="17.25" customHeight="1" x14ac:dyDescent="0.3">
      <c r="B46" s="67" t="s">
        <v>41</v>
      </c>
      <c r="C46" s="69">
        <f>AVERAGE(C24:C44)</f>
        <v>1202.4384999999997</v>
      </c>
      <c r="E46" s="41"/>
    </row>
    <row r="47" spans="1:7" ht="17.25" customHeight="1" x14ac:dyDescent="0.3">
      <c r="A47" s="45"/>
      <c r="B47" s="64"/>
      <c r="D47" s="43"/>
      <c r="E47" s="41"/>
    </row>
    <row r="48" spans="1:7" ht="33.75" customHeight="1" x14ac:dyDescent="0.3">
      <c r="B48" s="77" t="s">
        <v>41</v>
      </c>
      <c r="C48" s="70" t="s">
        <v>42</v>
      </c>
      <c r="D48" s="65"/>
      <c r="G48" s="43"/>
    </row>
    <row r="49" spans="1:6" ht="17.25" customHeight="1" x14ac:dyDescent="0.3">
      <c r="B49" s="263">
        <f>C46</f>
        <v>1202.4384999999997</v>
      </c>
      <c r="C49" s="78">
        <f>-IF(C46&lt;=80,10%,IF(C46&lt;250,7.5%,5%))</f>
        <v>-0.05</v>
      </c>
      <c r="D49" s="66">
        <f>IF(C46&lt;=80,C46*0.9,IF(C46&lt;250,C46*0.925,C46*0.95))</f>
        <v>1142.3165749999996</v>
      </c>
    </row>
    <row r="50" spans="1:6" ht="17.25" customHeight="1" x14ac:dyDescent="0.3">
      <c r="B50" s="264"/>
      <c r="C50" s="79">
        <f>IF(C46&lt;=80, 10%, IF(C46&lt;250, 7.5%, 5%))</f>
        <v>0.05</v>
      </c>
      <c r="D50" s="66">
        <f>IF(C46&lt;=80, C46*1.1, IF(C46&lt;250, C46*1.075, C46*1.05))</f>
        <v>1262.5604249999999</v>
      </c>
    </row>
    <row r="51" spans="1:6" ht="16.5" customHeight="1" x14ac:dyDescent="0.3">
      <c r="A51" s="48"/>
      <c r="B51" s="49"/>
      <c r="C51" s="45"/>
      <c r="D51" s="50"/>
      <c r="E51" s="45"/>
      <c r="F51" s="51"/>
    </row>
    <row r="52" spans="1:6" ht="16.5" customHeight="1" x14ac:dyDescent="0.3">
      <c r="A52" s="45"/>
      <c r="B52" s="52" t="s">
        <v>24</v>
      </c>
      <c r="C52" s="52"/>
      <c r="D52" s="53" t="s">
        <v>25</v>
      </c>
      <c r="E52" s="54"/>
      <c r="F52" s="53" t="s">
        <v>26</v>
      </c>
    </row>
    <row r="53" spans="1:6" ht="34.5" customHeight="1" x14ac:dyDescent="0.3">
      <c r="A53" s="55" t="s">
        <v>27</v>
      </c>
      <c r="B53" s="56"/>
      <c r="C53" s="57"/>
      <c r="D53" s="56"/>
      <c r="E53" s="46"/>
      <c r="F53" s="58"/>
    </row>
    <row r="54" spans="1:6" ht="34.5" customHeight="1" x14ac:dyDescent="0.3">
      <c r="A54" s="55" t="s">
        <v>28</v>
      </c>
      <c r="B54" s="59"/>
      <c r="C54" s="60"/>
      <c r="D54" s="59"/>
      <c r="E54" s="46"/>
      <c r="F54" s="6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C106" sqref="C106"/>
    </sheetView>
  </sheetViews>
  <sheetFormatPr defaultColWidth="9.140625" defaultRowHeight="13.5" x14ac:dyDescent="0.25"/>
  <cols>
    <col min="1" max="1" width="55.42578125" style="190" customWidth="1"/>
    <col min="2" max="2" width="33.7109375" style="190" customWidth="1"/>
    <col min="3" max="3" width="42.28515625" style="190" customWidth="1"/>
    <col min="4" max="4" width="30.5703125" style="190" customWidth="1"/>
    <col min="5" max="5" width="39.85546875" style="190" customWidth="1"/>
    <col min="6" max="6" width="30.7109375" style="190" customWidth="1"/>
    <col min="7" max="7" width="39.85546875" style="190" customWidth="1"/>
    <col min="8" max="8" width="30" style="190" customWidth="1"/>
    <col min="9" max="9" width="30.28515625" style="190" hidden="1" customWidth="1"/>
    <col min="10" max="10" width="30.42578125" style="190" customWidth="1"/>
    <col min="11" max="11" width="21.28515625" style="190" customWidth="1"/>
    <col min="12" max="12" width="9.140625" style="190"/>
    <col min="13" max="16384" width="9.140625" style="31"/>
  </cols>
  <sheetData>
    <row r="1" spans="1:9" ht="18.75" customHeight="1" x14ac:dyDescent="0.25">
      <c r="A1" s="274" t="s">
        <v>43</v>
      </c>
      <c r="B1" s="274"/>
      <c r="C1" s="274"/>
      <c r="D1" s="274"/>
      <c r="E1" s="274"/>
      <c r="F1" s="274"/>
      <c r="G1" s="274"/>
      <c r="H1" s="274"/>
      <c r="I1" s="274"/>
    </row>
    <row r="2" spans="1:9" ht="18.75" customHeight="1" x14ac:dyDescent="0.25">
      <c r="A2" s="274"/>
      <c r="B2" s="274"/>
      <c r="C2" s="274"/>
      <c r="D2" s="274"/>
      <c r="E2" s="274"/>
      <c r="F2" s="274"/>
      <c r="G2" s="274"/>
      <c r="H2" s="274"/>
      <c r="I2" s="274"/>
    </row>
    <row r="3" spans="1:9" ht="18.75" customHeight="1" x14ac:dyDescent="0.25">
      <c r="A3" s="274"/>
      <c r="B3" s="274"/>
      <c r="C3" s="274"/>
      <c r="D3" s="274"/>
      <c r="E3" s="274"/>
      <c r="F3" s="274"/>
      <c r="G3" s="274"/>
      <c r="H3" s="274"/>
      <c r="I3" s="274"/>
    </row>
    <row r="4" spans="1:9" ht="18.75" customHeight="1" x14ac:dyDescent="0.25">
      <c r="A4" s="274"/>
      <c r="B4" s="274"/>
      <c r="C4" s="274"/>
      <c r="D4" s="274"/>
      <c r="E4" s="274"/>
      <c r="F4" s="274"/>
      <c r="G4" s="274"/>
      <c r="H4" s="274"/>
      <c r="I4" s="274"/>
    </row>
    <row r="5" spans="1:9" ht="18.75" customHeight="1" x14ac:dyDescent="0.25">
      <c r="A5" s="274"/>
      <c r="B5" s="274"/>
      <c r="C5" s="274"/>
      <c r="D5" s="274"/>
      <c r="E5" s="274"/>
      <c r="F5" s="274"/>
      <c r="G5" s="274"/>
      <c r="H5" s="274"/>
      <c r="I5" s="274"/>
    </row>
    <row r="6" spans="1:9" ht="18.75" customHeight="1" x14ac:dyDescent="0.25">
      <c r="A6" s="274"/>
      <c r="B6" s="274"/>
      <c r="C6" s="274"/>
      <c r="D6" s="274"/>
      <c r="E6" s="274"/>
      <c r="F6" s="274"/>
      <c r="G6" s="274"/>
      <c r="H6" s="274"/>
      <c r="I6" s="274"/>
    </row>
    <row r="7" spans="1:9" ht="18.75" customHeight="1" x14ac:dyDescent="0.25">
      <c r="A7" s="274"/>
      <c r="B7" s="274"/>
      <c r="C7" s="274"/>
      <c r="D7" s="274"/>
      <c r="E7" s="274"/>
      <c r="F7" s="274"/>
      <c r="G7" s="274"/>
      <c r="H7" s="274"/>
      <c r="I7" s="274"/>
    </row>
    <row r="8" spans="1:9" x14ac:dyDescent="0.25">
      <c r="A8" s="275" t="s">
        <v>44</v>
      </c>
      <c r="B8" s="275"/>
      <c r="C8" s="275"/>
      <c r="D8" s="275"/>
      <c r="E8" s="275"/>
      <c r="F8" s="275"/>
      <c r="G8" s="275"/>
      <c r="H8" s="275"/>
      <c r="I8" s="275"/>
    </row>
    <row r="9" spans="1:9" x14ac:dyDescent="0.25">
      <c r="A9" s="275"/>
      <c r="B9" s="275"/>
      <c r="C9" s="275"/>
      <c r="D9" s="275"/>
      <c r="E9" s="275"/>
      <c r="F9" s="275"/>
      <c r="G9" s="275"/>
      <c r="H9" s="275"/>
      <c r="I9" s="275"/>
    </row>
    <row r="10" spans="1:9" x14ac:dyDescent="0.25">
      <c r="A10" s="275"/>
      <c r="B10" s="275"/>
      <c r="C10" s="275"/>
      <c r="D10" s="275"/>
      <c r="E10" s="275"/>
      <c r="F10" s="275"/>
      <c r="G10" s="275"/>
      <c r="H10" s="275"/>
      <c r="I10" s="275"/>
    </row>
    <row r="11" spans="1:9" x14ac:dyDescent="0.25">
      <c r="A11" s="275"/>
      <c r="B11" s="275"/>
      <c r="C11" s="275"/>
      <c r="D11" s="275"/>
      <c r="E11" s="275"/>
      <c r="F11" s="275"/>
      <c r="G11" s="275"/>
      <c r="H11" s="275"/>
      <c r="I11" s="275"/>
    </row>
    <row r="12" spans="1:9" x14ac:dyDescent="0.25">
      <c r="A12" s="275"/>
      <c r="B12" s="275"/>
      <c r="C12" s="275"/>
      <c r="D12" s="275"/>
      <c r="E12" s="275"/>
      <c r="F12" s="275"/>
      <c r="G12" s="275"/>
      <c r="H12" s="275"/>
      <c r="I12" s="275"/>
    </row>
    <row r="13" spans="1:9" x14ac:dyDescent="0.25">
      <c r="A13" s="275"/>
      <c r="B13" s="275"/>
      <c r="C13" s="275"/>
      <c r="D13" s="275"/>
      <c r="E13" s="275"/>
      <c r="F13" s="275"/>
      <c r="G13" s="275"/>
      <c r="H13" s="275"/>
      <c r="I13" s="275"/>
    </row>
    <row r="14" spans="1:9" x14ac:dyDescent="0.25">
      <c r="A14" s="275"/>
      <c r="B14" s="275"/>
      <c r="C14" s="275"/>
      <c r="D14" s="275"/>
      <c r="E14" s="275"/>
      <c r="F14" s="275"/>
      <c r="G14" s="275"/>
      <c r="H14" s="275"/>
      <c r="I14" s="275"/>
    </row>
    <row r="15" spans="1:9" ht="19.5" customHeight="1" thickBot="1" x14ac:dyDescent="0.35">
      <c r="A15" s="173"/>
    </row>
    <row r="16" spans="1:9" ht="19.5" customHeight="1" thickBot="1" x14ac:dyDescent="0.35">
      <c r="A16" s="276" t="s">
        <v>29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45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83" t="s">
        <v>31</v>
      </c>
      <c r="B18" s="280" t="s">
        <v>4</v>
      </c>
      <c r="C18" s="280"/>
      <c r="D18" s="226"/>
      <c r="E18" s="84"/>
      <c r="F18" s="239"/>
      <c r="G18" s="239"/>
      <c r="H18" s="239"/>
    </row>
    <row r="19" spans="1:14" ht="26.25" customHeight="1" x14ac:dyDescent="0.4">
      <c r="A19" s="83" t="s">
        <v>32</v>
      </c>
      <c r="B19" s="244" t="s">
        <v>6</v>
      </c>
      <c r="C19" s="239">
        <v>29</v>
      </c>
      <c r="D19" s="239"/>
      <c r="E19" s="239"/>
      <c r="F19" s="239"/>
      <c r="G19" s="239"/>
      <c r="H19" s="239"/>
    </row>
    <row r="20" spans="1:14" ht="26.25" customHeight="1" x14ac:dyDescent="0.4">
      <c r="A20" s="83" t="s">
        <v>33</v>
      </c>
      <c r="B20" s="281" t="s">
        <v>8</v>
      </c>
      <c r="C20" s="281"/>
      <c r="D20" s="239"/>
      <c r="E20" s="239"/>
      <c r="F20" s="239"/>
      <c r="G20" s="239"/>
      <c r="H20" s="239"/>
    </row>
    <row r="21" spans="1:14" ht="26.25" customHeight="1" x14ac:dyDescent="0.4">
      <c r="A21" s="83" t="s">
        <v>34</v>
      </c>
      <c r="B21" s="281" t="s">
        <v>10</v>
      </c>
      <c r="C21" s="281"/>
      <c r="D21" s="281"/>
      <c r="E21" s="281"/>
      <c r="F21" s="281"/>
      <c r="G21" s="281"/>
      <c r="H21" s="281"/>
      <c r="I21" s="85"/>
    </row>
    <row r="22" spans="1:14" ht="26.25" customHeight="1" x14ac:dyDescent="0.4">
      <c r="A22" s="83" t="s">
        <v>35</v>
      </c>
      <c r="B22" s="86"/>
      <c r="C22" s="239"/>
      <c r="D22" s="239"/>
      <c r="E22" s="239"/>
      <c r="F22" s="239"/>
      <c r="G22" s="239"/>
      <c r="H22" s="239"/>
    </row>
    <row r="23" spans="1:14" ht="26.25" customHeight="1" x14ac:dyDescent="0.4">
      <c r="A23" s="83" t="s">
        <v>36</v>
      </c>
      <c r="B23" s="86"/>
      <c r="C23" s="239"/>
      <c r="D23" s="239"/>
      <c r="E23" s="239"/>
      <c r="F23" s="239"/>
      <c r="G23" s="239"/>
      <c r="H23" s="239"/>
    </row>
    <row r="24" spans="1:14" ht="18.75" x14ac:dyDescent="0.3">
      <c r="A24" s="83"/>
      <c r="B24" s="87"/>
    </row>
    <row r="25" spans="1:14" ht="18.75" x14ac:dyDescent="0.3">
      <c r="A25" s="88" t="s">
        <v>1</v>
      </c>
      <c r="B25" s="87"/>
    </row>
    <row r="26" spans="1:14" ht="26.25" customHeight="1" x14ac:dyDescent="0.4">
      <c r="A26" s="221" t="s">
        <v>3</v>
      </c>
      <c r="B26" s="280" t="s">
        <v>123</v>
      </c>
      <c r="C26" s="280"/>
    </row>
    <row r="27" spans="1:14" ht="26.25" customHeight="1" x14ac:dyDescent="0.4">
      <c r="A27" s="179" t="s">
        <v>46</v>
      </c>
      <c r="B27" s="282"/>
      <c r="C27" s="282"/>
    </row>
    <row r="28" spans="1:14" ht="27" customHeight="1" thickBot="1" x14ac:dyDescent="0.45">
      <c r="A28" s="179" t="s">
        <v>5</v>
      </c>
      <c r="B28" s="175">
        <v>86.6</v>
      </c>
    </row>
    <row r="29" spans="1:14" s="8" customFormat="1" ht="27" customHeight="1" thickBot="1" x14ac:dyDescent="0.45">
      <c r="A29" s="179" t="s">
        <v>47</v>
      </c>
      <c r="B29" s="89"/>
      <c r="C29" s="283" t="s">
        <v>48</v>
      </c>
      <c r="D29" s="284"/>
      <c r="E29" s="284"/>
      <c r="F29" s="284"/>
      <c r="G29" s="285"/>
      <c r="I29" s="90"/>
      <c r="J29" s="90"/>
      <c r="K29" s="90"/>
      <c r="L29" s="90"/>
    </row>
    <row r="30" spans="1:14" s="8" customFormat="1" ht="19.5" customHeight="1" thickBot="1" x14ac:dyDescent="0.35">
      <c r="A30" s="179" t="s">
        <v>49</v>
      </c>
      <c r="B30" s="240">
        <f>B28-B29</f>
        <v>86.6</v>
      </c>
      <c r="C30" s="91"/>
      <c r="D30" s="91"/>
      <c r="E30" s="91"/>
      <c r="F30" s="91"/>
      <c r="G30" s="92"/>
      <c r="I30" s="90"/>
      <c r="J30" s="90"/>
      <c r="K30" s="90"/>
      <c r="L30" s="90"/>
    </row>
    <row r="31" spans="1:14" s="8" customFormat="1" ht="27" customHeight="1" thickBot="1" x14ac:dyDescent="0.45">
      <c r="A31" s="179" t="s">
        <v>50</v>
      </c>
      <c r="B31" s="93">
        <v>1</v>
      </c>
      <c r="C31" s="271" t="s">
        <v>51</v>
      </c>
      <c r="D31" s="272"/>
      <c r="E31" s="272"/>
      <c r="F31" s="272"/>
      <c r="G31" s="272"/>
      <c r="H31" s="273"/>
      <c r="I31" s="90"/>
      <c r="J31" s="90"/>
      <c r="K31" s="90"/>
      <c r="L31" s="90"/>
    </row>
    <row r="32" spans="1:14" s="8" customFormat="1" ht="27" customHeight="1" thickBot="1" x14ac:dyDescent="0.45">
      <c r="A32" s="179" t="s">
        <v>52</v>
      </c>
      <c r="B32" s="93">
        <v>1</v>
      </c>
      <c r="C32" s="271" t="s">
        <v>53</v>
      </c>
      <c r="D32" s="272"/>
      <c r="E32" s="272"/>
      <c r="F32" s="272"/>
      <c r="G32" s="272"/>
      <c r="H32" s="273"/>
      <c r="I32" s="90"/>
      <c r="J32" s="90"/>
      <c r="K32" s="90"/>
      <c r="L32" s="94"/>
      <c r="M32" s="94"/>
      <c r="N32" s="95"/>
    </row>
    <row r="33" spans="1:14" s="8" customFormat="1" ht="17.25" customHeight="1" x14ac:dyDescent="0.3">
      <c r="A33" s="179"/>
      <c r="B33" s="96"/>
      <c r="C33" s="97"/>
      <c r="D33" s="97"/>
      <c r="E33" s="97"/>
      <c r="F33" s="97"/>
      <c r="G33" s="97"/>
      <c r="H33" s="97"/>
      <c r="I33" s="90"/>
      <c r="J33" s="90"/>
      <c r="K33" s="90"/>
      <c r="L33" s="94"/>
      <c r="M33" s="94"/>
      <c r="N33" s="95"/>
    </row>
    <row r="34" spans="1:14" s="8" customFormat="1" ht="18.75" x14ac:dyDescent="0.3">
      <c r="A34" s="179" t="s">
        <v>54</v>
      </c>
      <c r="B34" s="98">
        <f>B31/B32</f>
        <v>1</v>
      </c>
      <c r="C34" s="173" t="s">
        <v>55</v>
      </c>
      <c r="D34" s="173"/>
      <c r="E34" s="173"/>
      <c r="F34" s="173"/>
      <c r="G34" s="173"/>
      <c r="I34" s="90"/>
      <c r="J34" s="90"/>
      <c r="K34" s="90"/>
      <c r="L34" s="94"/>
      <c r="M34" s="94"/>
      <c r="N34" s="95"/>
    </row>
    <row r="35" spans="1:14" s="8" customFormat="1" ht="19.5" customHeight="1" thickBot="1" x14ac:dyDescent="0.35">
      <c r="A35" s="179"/>
      <c r="B35" s="240"/>
      <c r="G35" s="173"/>
      <c r="I35" s="90"/>
      <c r="J35" s="90"/>
      <c r="K35" s="90"/>
      <c r="L35" s="94"/>
      <c r="M35" s="94"/>
      <c r="N35" s="95"/>
    </row>
    <row r="36" spans="1:14" s="8" customFormat="1" ht="27" customHeight="1" thickBot="1" x14ac:dyDescent="0.45">
      <c r="A36" s="99" t="s">
        <v>56</v>
      </c>
      <c r="B36" s="100">
        <v>20</v>
      </c>
      <c r="C36" s="173"/>
      <c r="D36" s="286" t="s">
        <v>57</v>
      </c>
      <c r="E36" s="287"/>
      <c r="F36" s="286" t="s">
        <v>58</v>
      </c>
      <c r="G36" s="288"/>
      <c r="J36" s="90"/>
      <c r="K36" s="90"/>
      <c r="L36" s="94"/>
      <c r="M36" s="94"/>
      <c r="N36" s="95"/>
    </row>
    <row r="37" spans="1:14" s="8" customFormat="1" ht="27" customHeight="1" thickBot="1" x14ac:dyDescent="0.45">
      <c r="A37" s="101" t="s">
        <v>59</v>
      </c>
      <c r="B37" s="102">
        <v>10</v>
      </c>
      <c r="C37" s="103" t="s">
        <v>60</v>
      </c>
      <c r="D37" s="104" t="s">
        <v>61</v>
      </c>
      <c r="E37" s="105" t="s">
        <v>62</v>
      </c>
      <c r="F37" s="104" t="s">
        <v>61</v>
      </c>
      <c r="G37" s="106" t="s">
        <v>62</v>
      </c>
      <c r="I37" s="107" t="s">
        <v>63</v>
      </c>
      <c r="J37" s="90"/>
      <c r="K37" s="90"/>
      <c r="L37" s="94"/>
      <c r="M37" s="94"/>
      <c r="N37" s="95"/>
    </row>
    <row r="38" spans="1:14" s="8" customFormat="1" ht="26.25" customHeight="1" x14ac:dyDescent="0.4">
      <c r="A38" s="101" t="s">
        <v>64</v>
      </c>
      <c r="B38" s="102">
        <v>20</v>
      </c>
      <c r="C38" s="108">
        <v>1</v>
      </c>
      <c r="D38" s="109">
        <v>211297885</v>
      </c>
      <c r="E38" s="110">
        <f>IF(ISBLANK(D38),"-",$D$48/$D$45*D38)</f>
        <v>244604449.92388594</v>
      </c>
      <c r="F38" s="109">
        <v>228043585</v>
      </c>
      <c r="G38" s="111">
        <f>IF(ISBLANK(F38),"-",$D$48/$F$45*F38)</f>
        <v>246332810.87632352</v>
      </c>
      <c r="I38" s="112"/>
      <c r="J38" s="90"/>
      <c r="K38" s="90"/>
      <c r="L38" s="94"/>
      <c r="M38" s="94"/>
      <c r="N38" s="95"/>
    </row>
    <row r="39" spans="1:14" s="8" customFormat="1" ht="26.25" customHeight="1" x14ac:dyDescent="0.4">
      <c r="A39" s="101" t="s">
        <v>65</v>
      </c>
      <c r="B39" s="102">
        <v>1</v>
      </c>
      <c r="C39" s="130">
        <v>2</v>
      </c>
      <c r="D39" s="113">
        <v>211510490</v>
      </c>
      <c r="E39" s="114">
        <f>IF(ISBLANK(D39),"-",$D$48/$D$45*D39)</f>
        <v>244850567.52736348</v>
      </c>
      <c r="F39" s="113">
        <v>228058943</v>
      </c>
      <c r="G39" s="115">
        <f>IF(ISBLANK(F39),"-",$D$48/$F$45*F39)</f>
        <v>246349400.59670281</v>
      </c>
      <c r="I39" s="289">
        <f>ABS((F43/D43*D42)-F42)/D42</f>
        <v>6.9076638878041684E-3</v>
      </c>
      <c r="J39" s="90"/>
      <c r="K39" s="90"/>
      <c r="L39" s="94"/>
      <c r="M39" s="94"/>
      <c r="N39" s="95"/>
    </row>
    <row r="40" spans="1:14" ht="26.25" customHeight="1" x14ac:dyDescent="0.4">
      <c r="A40" s="101" t="s">
        <v>66</v>
      </c>
      <c r="B40" s="102">
        <v>1</v>
      </c>
      <c r="C40" s="130">
        <v>3</v>
      </c>
      <c r="D40" s="113">
        <v>211259328</v>
      </c>
      <c r="E40" s="114">
        <f>IF(ISBLANK(D40),"-",$D$48/$D$45*D40)</f>
        <v>244559815.24249426</v>
      </c>
      <c r="F40" s="113">
        <v>227794566</v>
      </c>
      <c r="G40" s="115">
        <f>IF(ISBLANK(F40),"-",$D$48/$F$45*F40)</f>
        <v>246063820.41017377</v>
      </c>
      <c r="I40" s="289"/>
      <c r="L40" s="94"/>
      <c r="M40" s="94"/>
      <c r="N40" s="173"/>
    </row>
    <row r="41" spans="1:14" ht="27" customHeight="1" thickBot="1" x14ac:dyDescent="0.45">
      <c r="A41" s="101" t="s">
        <v>67</v>
      </c>
      <c r="B41" s="102">
        <v>1</v>
      </c>
      <c r="C41" s="116">
        <v>4</v>
      </c>
      <c r="D41" s="117"/>
      <c r="E41" s="118" t="str">
        <f>IF(ISBLANK(D41),"-",$D$48/$D$45*D41)</f>
        <v>-</v>
      </c>
      <c r="F41" s="117"/>
      <c r="G41" s="119" t="str">
        <f>IF(ISBLANK(F41),"-",$D$48/$F$45*F41)</f>
        <v>-</v>
      </c>
      <c r="I41" s="120"/>
      <c r="L41" s="94"/>
      <c r="M41" s="94"/>
      <c r="N41" s="173"/>
    </row>
    <row r="42" spans="1:14" ht="27" customHeight="1" thickBot="1" x14ac:dyDescent="0.45">
      <c r="A42" s="101" t="s">
        <v>68</v>
      </c>
      <c r="B42" s="102">
        <v>1</v>
      </c>
      <c r="C42" s="121" t="s">
        <v>69</v>
      </c>
      <c r="D42" s="122">
        <f>AVERAGE(D38:D41)</f>
        <v>211355901</v>
      </c>
      <c r="E42" s="123">
        <f>AVERAGE(E38:E41)</f>
        <v>244671610.89791456</v>
      </c>
      <c r="F42" s="122">
        <f>AVERAGE(F38:F41)</f>
        <v>227965698</v>
      </c>
      <c r="G42" s="124">
        <f>AVERAGE(G38:G41)</f>
        <v>246248677.29440007</v>
      </c>
      <c r="H42" s="125"/>
    </row>
    <row r="43" spans="1:14" ht="26.25" customHeight="1" x14ac:dyDescent="0.4">
      <c r="A43" s="101" t="s">
        <v>70</v>
      </c>
      <c r="B43" s="102">
        <v>1</v>
      </c>
      <c r="C43" s="126" t="s">
        <v>71</v>
      </c>
      <c r="D43" s="127">
        <v>19.95</v>
      </c>
      <c r="E43" s="173"/>
      <c r="F43" s="127">
        <v>21.38</v>
      </c>
      <c r="H43" s="125"/>
    </row>
    <row r="44" spans="1:14" ht="26.25" customHeight="1" x14ac:dyDescent="0.4">
      <c r="A44" s="101" t="s">
        <v>72</v>
      </c>
      <c r="B44" s="102">
        <v>1</v>
      </c>
      <c r="C44" s="128" t="s">
        <v>73</v>
      </c>
      <c r="D44" s="129">
        <f>D43*$B$34</f>
        <v>19.95</v>
      </c>
      <c r="E44" s="187"/>
      <c r="F44" s="129">
        <f>F43*$B$34</f>
        <v>21.38</v>
      </c>
      <c r="H44" s="125"/>
    </row>
    <row r="45" spans="1:14" ht="19.5" customHeight="1" thickBot="1" x14ac:dyDescent="0.35">
      <c r="A45" s="101" t="s">
        <v>74</v>
      </c>
      <c r="B45" s="130">
        <f>(B44/B43)*(B42/B41)*(B40/B39)*(B38/B37)*B36</f>
        <v>40</v>
      </c>
      <c r="C45" s="128" t="s">
        <v>75</v>
      </c>
      <c r="D45" s="131">
        <f>D44*$B$30/100</f>
        <v>17.276699999999998</v>
      </c>
      <c r="E45" s="170"/>
      <c r="F45" s="131">
        <f>F44*$B$30/100</f>
        <v>18.515079999999998</v>
      </c>
      <c r="H45" s="125"/>
    </row>
    <row r="46" spans="1:14" ht="19.5" customHeight="1" thickBot="1" x14ac:dyDescent="0.35">
      <c r="A46" s="290" t="s">
        <v>76</v>
      </c>
      <c r="B46" s="291"/>
      <c r="C46" s="128" t="s">
        <v>77</v>
      </c>
      <c r="D46" s="132">
        <f>D45/$B$45</f>
        <v>0.43191749999999995</v>
      </c>
      <c r="E46" s="133"/>
      <c r="F46" s="134">
        <f>F45/$B$45</f>
        <v>0.46287699999999993</v>
      </c>
      <c r="H46" s="125"/>
    </row>
    <row r="47" spans="1:14" ht="27" customHeight="1" thickBot="1" x14ac:dyDescent="0.45">
      <c r="A47" s="292"/>
      <c r="B47" s="293"/>
      <c r="C47" s="135" t="s">
        <v>78</v>
      </c>
      <c r="D47" s="136">
        <v>0.5</v>
      </c>
      <c r="E47" s="137"/>
      <c r="F47" s="133"/>
      <c r="H47" s="125"/>
    </row>
    <row r="48" spans="1:14" ht="18.75" x14ac:dyDescent="0.3">
      <c r="C48" s="138" t="s">
        <v>79</v>
      </c>
      <c r="D48" s="131">
        <f>D47*$B$45</f>
        <v>20</v>
      </c>
      <c r="F48" s="139"/>
      <c r="H48" s="125"/>
    </row>
    <row r="49" spans="1:12" ht="19.5" customHeight="1" thickBot="1" x14ac:dyDescent="0.35">
      <c r="C49" s="140" t="s">
        <v>80</v>
      </c>
      <c r="D49" s="141">
        <f>D48/B34</f>
        <v>20</v>
      </c>
      <c r="F49" s="139"/>
      <c r="H49" s="125"/>
    </row>
    <row r="50" spans="1:12" ht="18.75" x14ac:dyDescent="0.3">
      <c r="C50" s="99" t="s">
        <v>81</v>
      </c>
      <c r="D50" s="142">
        <f>AVERAGE(E38:E41,G38:G41)</f>
        <v>245460144.09615731</v>
      </c>
      <c r="F50" s="143"/>
      <c r="H50" s="125"/>
    </row>
    <row r="51" spans="1:12" ht="18.75" x14ac:dyDescent="0.3">
      <c r="C51" s="101" t="s">
        <v>82</v>
      </c>
      <c r="D51" s="144">
        <f>STDEV(E38:E41,G38:G41)/D50</f>
        <v>3.5661359270221385E-3</v>
      </c>
      <c r="F51" s="143"/>
      <c r="H51" s="125"/>
    </row>
    <row r="52" spans="1:12" ht="19.5" customHeight="1" thickBot="1" x14ac:dyDescent="0.35">
      <c r="C52" s="145" t="s">
        <v>19</v>
      </c>
      <c r="D52" s="146">
        <f>COUNT(E38:E41,G38:G41)</f>
        <v>6</v>
      </c>
      <c r="F52" s="143"/>
    </row>
    <row r="54" spans="1:12" ht="18.75" x14ac:dyDescent="0.3">
      <c r="A54" s="147" t="s">
        <v>1</v>
      </c>
      <c r="B54" s="148" t="s">
        <v>83</v>
      </c>
    </row>
    <row r="55" spans="1:12" ht="18.75" x14ac:dyDescent="0.3">
      <c r="A55" s="173" t="s">
        <v>84</v>
      </c>
      <c r="B55" s="149" t="str">
        <f>B21</f>
        <v>Each film coated tablet contains Amoxicillin Trihydrate Ph. Eur. eq to amoxicillin 500 mg, Clavualnate Potassium Ph. Eur. eq to Clavulanic acid 125 mg</v>
      </c>
    </row>
    <row r="56" spans="1:12" ht="26.25" customHeight="1" x14ac:dyDescent="0.4">
      <c r="A56" s="149" t="s">
        <v>85</v>
      </c>
      <c r="B56" s="150">
        <v>500</v>
      </c>
      <c r="C56" s="173" t="str">
        <f>B20</f>
        <v>AMOXICILLIN 500MG</v>
      </c>
      <c r="H56" s="187"/>
    </row>
    <row r="57" spans="1:12" ht="18.75" x14ac:dyDescent="0.3">
      <c r="A57" s="149" t="s">
        <v>86</v>
      </c>
      <c r="B57" s="227">
        <f>Uniformity!C46</f>
        <v>1202.4384999999997</v>
      </c>
      <c r="H57" s="187"/>
    </row>
    <row r="58" spans="1:12" ht="19.5" customHeight="1" thickBot="1" x14ac:dyDescent="0.35">
      <c r="H58" s="187"/>
    </row>
    <row r="59" spans="1:12" s="8" customFormat="1" ht="27" customHeight="1" thickBot="1" x14ac:dyDescent="0.45">
      <c r="A59" s="99" t="s">
        <v>87</v>
      </c>
      <c r="B59" s="100">
        <v>100</v>
      </c>
      <c r="C59" s="173"/>
      <c r="D59" s="151" t="s">
        <v>88</v>
      </c>
      <c r="E59" s="152" t="s">
        <v>60</v>
      </c>
      <c r="F59" s="152" t="s">
        <v>61</v>
      </c>
      <c r="G59" s="152" t="s">
        <v>89</v>
      </c>
      <c r="H59" s="103" t="s">
        <v>90</v>
      </c>
      <c r="L59" s="90"/>
    </row>
    <row r="60" spans="1:12" s="8" customFormat="1" ht="26.25" customHeight="1" x14ac:dyDescent="0.4">
      <c r="A60" s="101" t="s">
        <v>91</v>
      </c>
      <c r="B60" s="102">
        <v>1</v>
      </c>
      <c r="C60" s="294" t="s">
        <v>92</v>
      </c>
      <c r="D60" s="297">
        <v>140.41</v>
      </c>
      <c r="E60" s="153">
        <v>1</v>
      </c>
      <c r="F60" s="154">
        <v>283958137</v>
      </c>
      <c r="G60" s="228">
        <f>IF(ISBLANK(F60),"-",(F60/$D$50*$D$47*$B$68)*($B$57/$D$60))</f>
        <v>495.34544243210348</v>
      </c>
      <c r="H60" s="155">
        <f t="shared" ref="H60:H71" si="0">IF(ISBLANK(F60),"-",G60/$B$56)</f>
        <v>0.99069088486420698</v>
      </c>
      <c r="L60" s="90"/>
    </row>
    <row r="61" spans="1:12" s="8" customFormat="1" ht="26.25" customHeight="1" x14ac:dyDescent="0.4">
      <c r="A61" s="101" t="s">
        <v>93</v>
      </c>
      <c r="B61" s="102">
        <v>1</v>
      </c>
      <c r="C61" s="295"/>
      <c r="D61" s="298"/>
      <c r="E61" s="156">
        <v>2</v>
      </c>
      <c r="F61" s="113">
        <v>283170627</v>
      </c>
      <c r="G61" s="229">
        <f>IF(ISBLANK(F61),"-",(F61/$D$50*$D$47*$B$68)*($B$57/$D$60))</f>
        <v>493.9716853935098</v>
      </c>
      <c r="H61" s="157">
        <f t="shared" si="0"/>
        <v>0.98794337078701955</v>
      </c>
      <c r="L61" s="90"/>
    </row>
    <row r="62" spans="1:12" s="8" customFormat="1" ht="26.25" customHeight="1" x14ac:dyDescent="0.4">
      <c r="A62" s="101" t="s">
        <v>94</v>
      </c>
      <c r="B62" s="102">
        <v>1</v>
      </c>
      <c r="C62" s="295"/>
      <c r="D62" s="298"/>
      <c r="E62" s="156">
        <v>3</v>
      </c>
      <c r="F62" s="158">
        <v>282661720</v>
      </c>
      <c r="G62" s="229">
        <f>IF(ISBLANK(F62),"-",(F62/$D$50*$D$47*$B$68)*($B$57/$D$60))</f>
        <v>493.08393212912</v>
      </c>
      <c r="H62" s="157">
        <f t="shared" si="0"/>
        <v>0.98616786425823999</v>
      </c>
      <c r="L62" s="90"/>
    </row>
    <row r="63" spans="1:12" ht="27" customHeight="1" thickBot="1" x14ac:dyDescent="0.45">
      <c r="A63" s="101" t="s">
        <v>95</v>
      </c>
      <c r="B63" s="102">
        <v>1</v>
      </c>
      <c r="C63" s="296"/>
      <c r="D63" s="299"/>
      <c r="E63" s="159">
        <v>4</v>
      </c>
      <c r="F63" s="160"/>
      <c r="G63" s="229" t="str">
        <f>IF(ISBLANK(F63),"-",(F63/$D$50*$D$47*$B$68)*($B$57/$D$60))</f>
        <v>-</v>
      </c>
      <c r="H63" s="157" t="str">
        <f t="shared" si="0"/>
        <v>-</v>
      </c>
    </row>
    <row r="64" spans="1:12" ht="26.25" customHeight="1" x14ac:dyDescent="0.4">
      <c r="A64" s="101" t="s">
        <v>96</v>
      </c>
      <c r="B64" s="102">
        <v>1</v>
      </c>
      <c r="C64" s="294" t="s">
        <v>97</v>
      </c>
      <c r="D64" s="297">
        <v>154.19</v>
      </c>
      <c r="E64" s="153">
        <v>1</v>
      </c>
      <c r="F64" s="154">
        <v>310483510</v>
      </c>
      <c r="G64" s="230">
        <f>IF(ISBLANK(F64),"-",(F64/$D$50*$D$47*$B$68)*($B$57/$D$64))</f>
        <v>493.21266900778136</v>
      </c>
      <c r="H64" s="161">
        <f t="shared" si="0"/>
        <v>0.98642533801556276</v>
      </c>
    </row>
    <row r="65" spans="1:8" ht="26.25" customHeight="1" x14ac:dyDescent="0.4">
      <c r="A65" s="101" t="s">
        <v>98</v>
      </c>
      <c r="B65" s="102">
        <v>1</v>
      </c>
      <c r="C65" s="295"/>
      <c r="D65" s="298"/>
      <c r="E65" s="156">
        <v>2</v>
      </c>
      <c r="F65" s="113">
        <v>309902602</v>
      </c>
      <c r="G65" s="231">
        <f>IF(ISBLANK(F65),"-",(F65/$D$50*$D$47*$B$68)*($B$57/$D$64))</f>
        <v>492.28987866336666</v>
      </c>
      <c r="H65" s="162">
        <f t="shared" si="0"/>
        <v>0.98457975732673331</v>
      </c>
    </row>
    <row r="66" spans="1:8" ht="26.25" customHeight="1" x14ac:dyDescent="0.4">
      <c r="A66" s="101" t="s">
        <v>99</v>
      </c>
      <c r="B66" s="102">
        <v>1</v>
      </c>
      <c r="C66" s="295"/>
      <c r="D66" s="298"/>
      <c r="E66" s="156">
        <v>3</v>
      </c>
      <c r="F66" s="113">
        <v>309227368</v>
      </c>
      <c r="G66" s="231">
        <f>IF(ISBLANK(F66),"-",(F66/$D$50*$D$47*$B$68)*($B$57/$D$64))</f>
        <v>491.21724854737499</v>
      </c>
      <c r="H66" s="162">
        <f t="shared" si="0"/>
        <v>0.98243449709474995</v>
      </c>
    </row>
    <row r="67" spans="1:8" ht="27" customHeight="1" thickBot="1" x14ac:dyDescent="0.45">
      <c r="A67" s="101" t="s">
        <v>100</v>
      </c>
      <c r="B67" s="102">
        <v>1</v>
      </c>
      <c r="C67" s="296"/>
      <c r="D67" s="299"/>
      <c r="E67" s="159">
        <v>4</v>
      </c>
      <c r="F67" s="160"/>
      <c r="G67" s="232" t="str">
        <f>IF(ISBLANK(F67),"-",(F67/$D$50*$D$47*$B$68)*($B$57/$D$64))</f>
        <v>-</v>
      </c>
      <c r="H67" s="163" t="str">
        <f t="shared" si="0"/>
        <v>-</v>
      </c>
    </row>
    <row r="68" spans="1:8" ht="26.25" customHeight="1" x14ac:dyDescent="0.4">
      <c r="A68" s="101" t="s">
        <v>101</v>
      </c>
      <c r="B68" s="164">
        <f>(B67/B66)*(B65/B64)*(B63/B62)*(B61/B60)*B59</f>
        <v>100</v>
      </c>
      <c r="C68" s="294" t="s">
        <v>102</v>
      </c>
      <c r="D68" s="297">
        <v>166.97</v>
      </c>
      <c r="E68" s="153">
        <v>1</v>
      </c>
      <c r="F68" s="154">
        <v>346577984</v>
      </c>
      <c r="G68" s="230">
        <f>IF(ISBLANK(F68),"-",(F68/$D$50*$D$47*$B$68)*($B$57/$D$68))</f>
        <v>508.4103892167725</v>
      </c>
      <c r="H68" s="157">
        <f t="shared" si="0"/>
        <v>1.016820778433545</v>
      </c>
    </row>
    <row r="69" spans="1:8" ht="27" customHeight="1" thickBot="1" x14ac:dyDescent="0.45">
      <c r="A69" s="145" t="s">
        <v>103</v>
      </c>
      <c r="B69" s="165">
        <f>(D47*B68)/B56*B57</f>
        <v>120.24384999999998</v>
      </c>
      <c r="C69" s="295"/>
      <c r="D69" s="298"/>
      <c r="E69" s="156">
        <v>2</v>
      </c>
      <c r="F69" s="113">
        <v>346228683</v>
      </c>
      <c r="G69" s="231">
        <f>IF(ISBLANK(F69),"-",(F69/$D$50*$D$47*$B$68)*($B$57/$D$68))</f>
        <v>507.89798431639719</v>
      </c>
      <c r="H69" s="157">
        <f t="shared" si="0"/>
        <v>1.0157959686327944</v>
      </c>
    </row>
    <row r="70" spans="1:8" ht="26.25" customHeight="1" x14ac:dyDescent="0.4">
      <c r="A70" s="302" t="s">
        <v>76</v>
      </c>
      <c r="B70" s="303"/>
      <c r="C70" s="295"/>
      <c r="D70" s="298"/>
      <c r="E70" s="156">
        <v>3</v>
      </c>
      <c r="F70" s="113">
        <v>346291807</v>
      </c>
      <c r="G70" s="231">
        <f>IF(ISBLANK(F70),"-",(F70/$D$50*$D$47*$B$68)*($B$57/$D$68))</f>
        <v>507.99058367033911</v>
      </c>
      <c r="H70" s="157">
        <f t="shared" si="0"/>
        <v>1.0159811673406782</v>
      </c>
    </row>
    <row r="71" spans="1:8" ht="27" customHeight="1" thickBot="1" x14ac:dyDescent="0.45">
      <c r="A71" s="304"/>
      <c r="B71" s="305"/>
      <c r="C71" s="300"/>
      <c r="D71" s="299"/>
      <c r="E71" s="159">
        <v>4</v>
      </c>
      <c r="F71" s="160"/>
      <c r="G71" s="232" t="str">
        <f>IF(ISBLANK(F71),"-",(F71/$D$50*$D$47*$B$68)*($B$57/$D$68))</f>
        <v>-</v>
      </c>
      <c r="H71" s="16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67" t="s">
        <v>69</v>
      </c>
      <c r="G72" s="237">
        <f>AVERAGE(G60:G71)</f>
        <v>498.15775704186279</v>
      </c>
      <c r="H72" s="168">
        <f>AVERAGE(H60:H71)</f>
        <v>0.99631551408372543</v>
      </c>
    </row>
    <row r="73" spans="1:8" ht="26.25" customHeight="1" x14ac:dyDescent="0.4">
      <c r="C73" s="187"/>
      <c r="D73" s="187"/>
      <c r="E73" s="187"/>
      <c r="F73" s="169" t="s">
        <v>82</v>
      </c>
      <c r="G73" s="233">
        <f>STDEV(G60:G71)/G72</f>
        <v>1.5137310470154841E-2</v>
      </c>
      <c r="H73" s="233">
        <f>STDEV(H60:H71)/H72</f>
        <v>1.5137310470154864E-2</v>
      </c>
    </row>
    <row r="74" spans="1:8" ht="27" customHeight="1" thickBot="1" x14ac:dyDescent="0.45">
      <c r="A74" s="187"/>
      <c r="B74" s="187"/>
      <c r="C74" s="187"/>
      <c r="D74" s="187"/>
      <c r="E74" s="170"/>
      <c r="F74" s="171" t="s">
        <v>19</v>
      </c>
      <c r="G74" s="172">
        <f>COUNT(G60:G71)</f>
        <v>9</v>
      </c>
      <c r="H74" s="172">
        <f>COUNT(H60:H71)</f>
        <v>9</v>
      </c>
    </row>
    <row r="76" spans="1:8" ht="26.25" customHeight="1" x14ac:dyDescent="0.4">
      <c r="A76" s="221" t="s">
        <v>104</v>
      </c>
      <c r="B76" s="179" t="s">
        <v>105</v>
      </c>
      <c r="C76" s="306" t="str">
        <f>B20</f>
        <v>AMOXICILLIN 500MG</v>
      </c>
      <c r="D76" s="306"/>
      <c r="E76" s="173" t="s">
        <v>106</v>
      </c>
      <c r="F76" s="173"/>
      <c r="G76" s="174">
        <f>H72</f>
        <v>0.99631551408372543</v>
      </c>
      <c r="H76" s="240"/>
    </row>
    <row r="77" spans="1:8" ht="18.75" x14ac:dyDescent="0.3">
      <c r="A77" s="88" t="s">
        <v>107</v>
      </c>
      <c r="B77" s="88" t="s">
        <v>108</v>
      </c>
    </row>
    <row r="78" spans="1:8" ht="18.75" x14ac:dyDescent="0.3">
      <c r="A78" s="88"/>
      <c r="B78" s="88"/>
    </row>
    <row r="79" spans="1:8" ht="26.25" customHeight="1" x14ac:dyDescent="0.4">
      <c r="A79" s="221" t="s">
        <v>3</v>
      </c>
      <c r="B79" s="301" t="str">
        <f>B26</f>
        <v xml:space="preserve">Amoxicillin </v>
      </c>
      <c r="C79" s="301"/>
    </row>
    <row r="80" spans="1:8" ht="26.25" customHeight="1" x14ac:dyDescent="0.4">
      <c r="A80" s="179" t="s">
        <v>46</v>
      </c>
      <c r="B80" s="301">
        <f>B27</f>
        <v>0</v>
      </c>
      <c r="C80" s="301"/>
    </row>
    <row r="81" spans="1:12" ht="27" customHeight="1" thickBot="1" x14ac:dyDescent="0.45">
      <c r="A81" s="179" t="s">
        <v>5</v>
      </c>
      <c r="B81" s="175">
        <f>B28</f>
        <v>86.6</v>
      </c>
    </row>
    <row r="82" spans="1:12" s="8" customFormat="1" ht="27" customHeight="1" thickBot="1" x14ac:dyDescent="0.45">
      <c r="A82" s="179" t="s">
        <v>47</v>
      </c>
      <c r="B82" s="89">
        <v>0</v>
      </c>
      <c r="C82" s="283" t="s">
        <v>48</v>
      </c>
      <c r="D82" s="284"/>
      <c r="E82" s="284"/>
      <c r="F82" s="284"/>
      <c r="G82" s="285"/>
      <c r="I82" s="90"/>
      <c r="J82" s="90"/>
      <c r="K82" s="90"/>
      <c r="L82" s="90"/>
    </row>
    <row r="83" spans="1:12" s="8" customFormat="1" ht="19.5" customHeight="1" thickBot="1" x14ac:dyDescent="0.35">
      <c r="A83" s="179" t="s">
        <v>49</v>
      </c>
      <c r="B83" s="240">
        <f>B81-B82</f>
        <v>86.6</v>
      </c>
      <c r="C83" s="91"/>
      <c r="D83" s="91"/>
      <c r="E83" s="91"/>
      <c r="F83" s="91"/>
      <c r="G83" s="92"/>
      <c r="I83" s="90"/>
      <c r="J83" s="90"/>
      <c r="K83" s="90"/>
      <c r="L83" s="90"/>
    </row>
    <row r="84" spans="1:12" s="8" customFormat="1" ht="27" customHeight="1" thickBot="1" x14ac:dyDescent="0.45">
      <c r="A84" s="179" t="s">
        <v>50</v>
      </c>
      <c r="B84" s="93">
        <v>1</v>
      </c>
      <c r="C84" s="271" t="s">
        <v>109</v>
      </c>
      <c r="D84" s="272"/>
      <c r="E84" s="272"/>
      <c r="F84" s="272"/>
      <c r="G84" s="272"/>
      <c r="H84" s="273"/>
      <c r="I84" s="90"/>
      <c r="J84" s="90"/>
      <c r="K84" s="90"/>
      <c r="L84" s="90"/>
    </row>
    <row r="85" spans="1:12" s="8" customFormat="1" ht="27" customHeight="1" thickBot="1" x14ac:dyDescent="0.45">
      <c r="A85" s="179" t="s">
        <v>52</v>
      </c>
      <c r="B85" s="93">
        <v>1</v>
      </c>
      <c r="C85" s="271" t="s">
        <v>110</v>
      </c>
      <c r="D85" s="272"/>
      <c r="E85" s="272"/>
      <c r="F85" s="272"/>
      <c r="G85" s="272"/>
      <c r="H85" s="273"/>
      <c r="I85" s="90"/>
      <c r="J85" s="90"/>
      <c r="K85" s="90"/>
      <c r="L85" s="90"/>
    </row>
    <row r="86" spans="1:12" s="8" customFormat="1" ht="18.75" x14ac:dyDescent="0.3">
      <c r="A86" s="179"/>
      <c r="B86" s="96"/>
      <c r="C86" s="97"/>
      <c r="D86" s="97"/>
      <c r="E86" s="97"/>
      <c r="F86" s="97"/>
      <c r="G86" s="97"/>
      <c r="H86" s="97"/>
      <c r="I86" s="90"/>
      <c r="J86" s="90"/>
      <c r="K86" s="90"/>
      <c r="L86" s="90"/>
    </row>
    <row r="87" spans="1:12" s="8" customFormat="1" ht="18.75" x14ac:dyDescent="0.3">
      <c r="A87" s="179" t="s">
        <v>54</v>
      </c>
      <c r="B87" s="98">
        <f>B84/B85</f>
        <v>1</v>
      </c>
      <c r="C87" s="173" t="s">
        <v>55</v>
      </c>
      <c r="D87" s="173"/>
      <c r="E87" s="173"/>
      <c r="F87" s="173"/>
      <c r="G87" s="173"/>
      <c r="I87" s="90"/>
      <c r="J87" s="90"/>
      <c r="K87" s="90"/>
      <c r="L87" s="90"/>
    </row>
    <row r="88" spans="1:12" ht="19.5" customHeight="1" thickBot="1" x14ac:dyDescent="0.35">
      <c r="A88" s="88"/>
      <c r="B88" s="88"/>
    </row>
    <row r="89" spans="1:12" ht="27" customHeight="1" thickBot="1" x14ac:dyDescent="0.45">
      <c r="A89" s="99" t="s">
        <v>56</v>
      </c>
      <c r="B89" s="100">
        <v>20</v>
      </c>
      <c r="D89" s="242" t="s">
        <v>57</v>
      </c>
      <c r="E89" s="245"/>
      <c r="F89" s="286" t="s">
        <v>58</v>
      </c>
      <c r="G89" s="288"/>
    </row>
    <row r="90" spans="1:12" ht="27" customHeight="1" thickBot="1" x14ac:dyDescent="0.45">
      <c r="A90" s="101" t="s">
        <v>59</v>
      </c>
      <c r="B90" s="102">
        <v>10</v>
      </c>
      <c r="C90" s="241" t="s">
        <v>60</v>
      </c>
      <c r="D90" s="104" t="s">
        <v>61</v>
      </c>
      <c r="E90" s="105" t="s">
        <v>62</v>
      </c>
      <c r="F90" s="104" t="s">
        <v>61</v>
      </c>
      <c r="G90" s="176" t="s">
        <v>62</v>
      </c>
      <c r="I90" s="107" t="s">
        <v>63</v>
      </c>
    </row>
    <row r="91" spans="1:12" ht="26.25" customHeight="1" x14ac:dyDescent="0.4">
      <c r="A91" s="101" t="s">
        <v>64</v>
      </c>
      <c r="B91" s="102">
        <v>20</v>
      </c>
      <c r="C91" s="177">
        <v>1</v>
      </c>
      <c r="D91" s="109">
        <v>211297885</v>
      </c>
      <c r="E91" s="110">
        <f>IF(ISBLANK(D91),"-",$D$101/$D$98*D91)</f>
        <v>271782722.13765103</v>
      </c>
      <c r="F91" s="109">
        <v>228043585</v>
      </c>
      <c r="G91" s="111">
        <f>IF(ISBLANK(F91),"-",$D$101/$F$98*F91)</f>
        <v>273703123.19591504</v>
      </c>
      <c r="I91" s="112"/>
    </row>
    <row r="92" spans="1:12" ht="26.25" customHeight="1" x14ac:dyDescent="0.4">
      <c r="A92" s="101" t="s">
        <v>65</v>
      </c>
      <c r="B92" s="102">
        <v>1</v>
      </c>
      <c r="C92" s="187">
        <v>2</v>
      </c>
      <c r="D92" s="113">
        <v>211510490</v>
      </c>
      <c r="E92" s="114">
        <f>IF(ISBLANK(D92),"-",$D$101/$D$98*D92)</f>
        <v>272056186.14151496</v>
      </c>
      <c r="F92" s="113">
        <v>228058943</v>
      </c>
      <c r="G92" s="115">
        <f>IF(ISBLANK(F92),"-",$D$101/$F$98*F92)</f>
        <v>273721556.21855873</v>
      </c>
      <c r="I92" s="289">
        <f>ABS((F96/D96*D95)-F95)/D95</f>
        <v>6.9076638878041684E-3</v>
      </c>
    </row>
    <row r="93" spans="1:12" ht="26.25" customHeight="1" x14ac:dyDescent="0.4">
      <c r="A93" s="101" t="s">
        <v>66</v>
      </c>
      <c r="B93" s="102">
        <v>1</v>
      </c>
      <c r="C93" s="187">
        <v>3</v>
      </c>
      <c r="D93" s="113">
        <v>211259328</v>
      </c>
      <c r="E93" s="114">
        <f>IF(ISBLANK(D93),"-",$D$101/$D$98*D93)</f>
        <v>271733128.04721582</v>
      </c>
      <c r="F93" s="113">
        <v>227794566</v>
      </c>
      <c r="G93" s="115">
        <f>IF(ISBLANK(F93),"-",$D$101/$F$98*F93)</f>
        <v>273404244.9001931</v>
      </c>
      <c r="I93" s="289"/>
    </row>
    <row r="94" spans="1:12" ht="27" customHeight="1" thickBot="1" x14ac:dyDescent="0.45">
      <c r="A94" s="101" t="s">
        <v>67</v>
      </c>
      <c r="B94" s="102">
        <v>1</v>
      </c>
      <c r="C94" s="178">
        <v>4</v>
      </c>
      <c r="D94" s="117"/>
      <c r="E94" s="118" t="str">
        <f>IF(ISBLANK(D94),"-",$D$101/$D$98*D94)</f>
        <v>-</v>
      </c>
      <c r="F94" s="246"/>
      <c r="G94" s="119" t="str">
        <f>IF(ISBLANK(F94),"-",$D$101/$F$98*F94)</f>
        <v>-</v>
      </c>
      <c r="I94" s="120"/>
    </row>
    <row r="95" spans="1:12" ht="27" customHeight="1" thickBot="1" x14ac:dyDescent="0.45">
      <c r="A95" s="101" t="s">
        <v>68</v>
      </c>
      <c r="B95" s="102">
        <v>1</v>
      </c>
      <c r="C95" s="179" t="s">
        <v>69</v>
      </c>
      <c r="D95" s="180">
        <f>AVERAGE(D91:D94)</f>
        <v>211355901</v>
      </c>
      <c r="E95" s="123">
        <f>AVERAGE(E91:E94)</f>
        <v>271857345.44212729</v>
      </c>
      <c r="F95" s="181">
        <f>AVERAGE(F91:F94)</f>
        <v>227965698</v>
      </c>
      <c r="G95" s="182">
        <f>AVERAGE(G91:G94)</f>
        <v>273609641.43822229</v>
      </c>
    </row>
    <row r="96" spans="1:12" ht="26.25" customHeight="1" x14ac:dyDescent="0.4">
      <c r="A96" s="101" t="s">
        <v>70</v>
      </c>
      <c r="B96" s="175">
        <v>1</v>
      </c>
      <c r="C96" s="183" t="s">
        <v>111</v>
      </c>
      <c r="D96" s="184">
        <v>19.95</v>
      </c>
      <c r="E96" s="173"/>
      <c r="F96" s="127">
        <v>21.38</v>
      </c>
    </row>
    <row r="97" spans="1:10" ht="26.25" customHeight="1" x14ac:dyDescent="0.4">
      <c r="A97" s="101" t="s">
        <v>72</v>
      </c>
      <c r="B97" s="175">
        <v>1</v>
      </c>
      <c r="C97" s="185" t="s">
        <v>112</v>
      </c>
      <c r="D97" s="186">
        <f>D96*$B$87</f>
        <v>19.95</v>
      </c>
      <c r="E97" s="187"/>
      <c r="F97" s="129">
        <f>F96*$B$87</f>
        <v>21.38</v>
      </c>
    </row>
    <row r="98" spans="1:10" ht="19.5" customHeight="1" thickBot="1" x14ac:dyDescent="0.35">
      <c r="A98" s="101" t="s">
        <v>74</v>
      </c>
      <c r="B98" s="187">
        <f>(B97/B96)*(B95/B94)*(B93/B92)*(B91/B90)*B89</f>
        <v>40</v>
      </c>
      <c r="C98" s="185" t="s">
        <v>113</v>
      </c>
      <c r="D98" s="188">
        <f>D97*$B$83/100</f>
        <v>17.276699999999998</v>
      </c>
      <c r="E98" s="170"/>
      <c r="F98" s="131">
        <f>F97*$B$83/100</f>
        <v>18.515079999999998</v>
      </c>
    </row>
    <row r="99" spans="1:10" ht="19.5" customHeight="1" thickBot="1" x14ac:dyDescent="0.35">
      <c r="A99" s="290" t="s">
        <v>76</v>
      </c>
      <c r="B99" s="307"/>
      <c r="C99" s="185" t="s">
        <v>114</v>
      </c>
      <c r="D99" s="189">
        <f>D98/$B$98</f>
        <v>0.43191749999999995</v>
      </c>
      <c r="E99" s="170"/>
      <c r="F99" s="134">
        <f>F98/$B$98</f>
        <v>0.46287699999999993</v>
      </c>
      <c r="H99" s="125"/>
    </row>
    <row r="100" spans="1:10" ht="19.5" customHeight="1" thickBot="1" x14ac:dyDescent="0.35">
      <c r="A100" s="292"/>
      <c r="B100" s="308"/>
      <c r="C100" s="185" t="s">
        <v>78</v>
      </c>
      <c r="D100" s="191">
        <f>$B$56/$B$116</f>
        <v>0.55555555555555558</v>
      </c>
      <c r="F100" s="139"/>
      <c r="G100" s="197"/>
      <c r="H100" s="125"/>
    </row>
    <row r="101" spans="1:10" ht="18.75" x14ac:dyDescent="0.3">
      <c r="C101" s="185" t="s">
        <v>79</v>
      </c>
      <c r="D101" s="186">
        <f>D100*$B$98</f>
        <v>22.222222222222221</v>
      </c>
      <c r="F101" s="139"/>
      <c r="H101" s="125"/>
    </row>
    <row r="102" spans="1:10" ht="19.5" customHeight="1" thickBot="1" x14ac:dyDescent="0.35">
      <c r="C102" s="192" t="s">
        <v>80</v>
      </c>
      <c r="D102" s="193">
        <f>D101/B34</f>
        <v>22.222222222222221</v>
      </c>
      <c r="F102" s="143"/>
      <c r="H102" s="125"/>
      <c r="J102" s="194"/>
    </row>
    <row r="103" spans="1:10" ht="18.75" x14ac:dyDescent="0.3">
      <c r="C103" s="195" t="s">
        <v>115</v>
      </c>
      <c r="D103" s="196">
        <f>AVERAGE(E91:E94,G91:G94)</f>
        <v>272733493.44017482</v>
      </c>
      <c r="F103" s="143"/>
      <c r="G103" s="197"/>
      <c r="H103" s="125"/>
      <c r="J103" s="198"/>
    </row>
    <row r="104" spans="1:10" ht="18.75" x14ac:dyDescent="0.3">
      <c r="C104" s="169" t="s">
        <v>82</v>
      </c>
      <c r="D104" s="199">
        <f>STDEV(E91:E94,G91:G94)/D103</f>
        <v>3.5661359270222335E-3</v>
      </c>
      <c r="F104" s="143"/>
      <c r="H104" s="125"/>
      <c r="J104" s="198"/>
    </row>
    <row r="105" spans="1:10" ht="19.5" customHeight="1" thickBot="1" x14ac:dyDescent="0.35">
      <c r="C105" s="171" t="s">
        <v>19</v>
      </c>
      <c r="D105" s="200">
        <f>COUNT(E91:E94,G91:G94)</f>
        <v>6</v>
      </c>
      <c r="F105" s="143"/>
      <c r="H105" s="125"/>
      <c r="J105" s="198"/>
    </row>
    <row r="106" spans="1:10" ht="19.5" customHeight="1" thickBot="1" x14ac:dyDescent="0.35">
      <c r="A106" s="147"/>
      <c r="B106" s="147"/>
      <c r="C106" s="147"/>
      <c r="D106" s="147"/>
      <c r="E106" s="147"/>
    </row>
    <row r="107" spans="1:10" ht="26.25" customHeight="1" x14ac:dyDescent="0.4">
      <c r="A107" s="99" t="s">
        <v>116</v>
      </c>
      <c r="B107" s="100">
        <v>900</v>
      </c>
      <c r="C107" s="242" t="s">
        <v>117</v>
      </c>
      <c r="D107" s="201" t="s">
        <v>61</v>
      </c>
      <c r="E107" s="202" t="s">
        <v>118</v>
      </c>
      <c r="F107" s="203" t="s">
        <v>119</v>
      </c>
    </row>
    <row r="108" spans="1:10" ht="26.25" customHeight="1" x14ac:dyDescent="0.4">
      <c r="A108" s="101" t="s">
        <v>120</v>
      </c>
      <c r="B108" s="102">
        <v>1</v>
      </c>
      <c r="C108" s="204">
        <v>1</v>
      </c>
      <c r="D108" s="205">
        <v>222553217</v>
      </c>
      <c r="E108" s="234">
        <f t="shared" ref="E108:E113" si="1">IF(ISBLANK(D108),"-",D108/$D$103*$D$100*$B$116)</f>
        <v>408.00492486783247</v>
      </c>
      <c r="F108" s="206">
        <f t="shared" ref="F108:F113" si="2">IF(ISBLANK(D108), "-", E108/$B$56)</f>
        <v>0.81600984973566493</v>
      </c>
    </row>
    <row r="109" spans="1:10" ht="26.25" customHeight="1" x14ac:dyDescent="0.4">
      <c r="A109" s="101" t="s">
        <v>93</v>
      </c>
      <c r="B109" s="102">
        <v>1</v>
      </c>
      <c r="C109" s="204">
        <v>2</v>
      </c>
      <c r="D109" s="205">
        <v>242869353</v>
      </c>
      <c r="E109" s="235">
        <f t="shared" si="1"/>
        <v>445.25032466038931</v>
      </c>
      <c r="F109" s="207">
        <f t="shared" si="2"/>
        <v>0.89050064932077866</v>
      </c>
    </row>
    <row r="110" spans="1:10" ht="26.25" customHeight="1" x14ac:dyDescent="0.4">
      <c r="A110" s="101" t="s">
        <v>94</v>
      </c>
      <c r="B110" s="102">
        <v>1</v>
      </c>
      <c r="C110" s="204">
        <v>3</v>
      </c>
      <c r="D110" s="205">
        <v>216701149</v>
      </c>
      <c r="E110" s="235">
        <f t="shared" si="1"/>
        <v>397.2763782449299</v>
      </c>
      <c r="F110" s="207">
        <f t="shared" si="2"/>
        <v>0.79455275648985979</v>
      </c>
    </row>
    <row r="111" spans="1:10" ht="26.25" customHeight="1" x14ac:dyDescent="0.4">
      <c r="A111" s="101" t="s">
        <v>95</v>
      </c>
      <c r="B111" s="102">
        <v>1</v>
      </c>
      <c r="C111" s="204">
        <v>4</v>
      </c>
      <c r="D111" s="205">
        <v>193419991</v>
      </c>
      <c r="E111" s="235">
        <f t="shared" si="1"/>
        <v>354.59522877124635</v>
      </c>
      <c r="F111" s="207">
        <f t="shared" si="2"/>
        <v>0.70919045754249266</v>
      </c>
    </row>
    <row r="112" spans="1:10" ht="26.25" customHeight="1" x14ac:dyDescent="0.4">
      <c r="A112" s="101" t="s">
        <v>96</v>
      </c>
      <c r="B112" s="102">
        <v>1</v>
      </c>
      <c r="C112" s="204">
        <v>5</v>
      </c>
      <c r="D112" s="205">
        <v>203436617</v>
      </c>
      <c r="E112" s="235">
        <f t="shared" si="1"/>
        <v>372.95862424873872</v>
      </c>
      <c r="F112" s="207">
        <f t="shared" si="2"/>
        <v>0.74591724849747743</v>
      </c>
    </row>
    <row r="113" spans="1:10" ht="26.25" customHeight="1" x14ac:dyDescent="0.4">
      <c r="A113" s="101" t="s">
        <v>98</v>
      </c>
      <c r="B113" s="102">
        <v>1</v>
      </c>
      <c r="C113" s="208">
        <v>6</v>
      </c>
      <c r="D113" s="209">
        <v>235384297</v>
      </c>
      <c r="E113" s="236">
        <f t="shared" si="1"/>
        <v>431.52803498927886</v>
      </c>
      <c r="F113" s="210">
        <f t="shared" si="2"/>
        <v>0.86305606997855777</v>
      </c>
    </row>
    <row r="114" spans="1:10" ht="26.25" customHeight="1" x14ac:dyDescent="0.4">
      <c r="A114" s="101" t="s">
        <v>99</v>
      </c>
      <c r="B114" s="102">
        <v>1</v>
      </c>
      <c r="C114" s="204"/>
      <c r="D114" s="187"/>
      <c r="E114" s="173"/>
      <c r="F114" s="211"/>
    </row>
    <row r="115" spans="1:10" ht="26.25" customHeight="1" x14ac:dyDescent="0.4">
      <c r="A115" s="101" t="s">
        <v>100</v>
      </c>
      <c r="B115" s="102">
        <v>1</v>
      </c>
      <c r="C115" s="204"/>
      <c r="D115" s="212" t="s">
        <v>69</v>
      </c>
      <c r="E115" s="238">
        <f>AVERAGE(E108:E113)</f>
        <v>401.60225263040257</v>
      </c>
      <c r="F115" s="213">
        <f>AVERAGE(F108:F113)</f>
        <v>0.80320450526080522</v>
      </c>
    </row>
    <row r="116" spans="1:10" ht="27" customHeight="1" thickBot="1" x14ac:dyDescent="0.45">
      <c r="A116" s="101" t="s">
        <v>101</v>
      </c>
      <c r="B116" s="130">
        <f>(B115/B114)*(B113/B112)*(B111/B110)*(B109/B108)*B107</f>
        <v>900</v>
      </c>
      <c r="C116" s="214"/>
      <c r="D116" s="179" t="s">
        <v>82</v>
      </c>
      <c r="E116" s="215">
        <f>STDEV(E108:E113)/E115</f>
        <v>8.5466537434891465E-2</v>
      </c>
      <c r="F116" s="215">
        <f>STDEV(F108:F113)/F115</f>
        <v>8.5466537434891493E-2</v>
      </c>
      <c r="I116" s="173"/>
    </row>
    <row r="117" spans="1:10" ht="27" customHeight="1" thickBot="1" x14ac:dyDescent="0.45">
      <c r="A117" s="290" t="s">
        <v>76</v>
      </c>
      <c r="B117" s="291"/>
      <c r="C117" s="216"/>
      <c r="D117" s="217" t="s">
        <v>19</v>
      </c>
      <c r="E117" s="218">
        <f>COUNT(E108:E113)</f>
        <v>6</v>
      </c>
      <c r="F117" s="218">
        <f>COUNT(F108:F113)</f>
        <v>6</v>
      </c>
      <c r="I117" s="173"/>
      <c r="J117" s="198"/>
    </row>
    <row r="118" spans="1:10" ht="19.5" customHeight="1" thickBot="1" x14ac:dyDescent="0.35">
      <c r="A118" s="292"/>
      <c r="B118" s="293"/>
      <c r="C118" s="173"/>
      <c r="D118" s="173"/>
      <c r="E118" s="173"/>
      <c r="F118" s="187"/>
      <c r="G118" s="173"/>
      <c r="H118" s="173"/>
      <c r="I118" s="173"/>
    </row>
    <row r="119" spans="1:10" ht="18.75" x14ac:dyDescent="0.3">
      <c r="A119" s="225"/>
      <c r="B119" s="97"/>
      <c r="C119" s="173"/>
      <c r="D119" s="173"/>
      <c r="E119" s="173"/>
      <c r="F119" s="187"/>
      <c r="G119" s="173"/>
      <c r="H119" s="173"/>
      <c r="I119" s="173"/>
    </row>
    <row r="120" spans="1:10" ht="26.25" customHeight="1" x14ac:dyDescent="0.4">
      <c r="A120" s="221" t="s">
        <v>104</v>
      </c>
      <c r="B120" s="179" t="s">
        <v>121</v>
      </c>
      <c r="C120" s="306" t="str">
        <f>B20</f>
        <v>AMOXICILLIN 500MG</v>
      </c>
      <c r="D120" s="306"/>
      <c r="E120" s="173" t="s">
        <v>122</v>
      </c>
      <c r="F120" s="173"/>
      <c r="G120" s="174">
        <f>F115</f>
        <v>0.80320450526080522</v>
      </c>
      <c r="H120" s="173"/>
      <c r="I120" s="173"/>
    </row>
    <row r="121" spans="1:10" ht="19.5" customHeight="1" thickBot="1" x14ac:dyDescent="0.35">
      <c r="A121" s="243"/>
      <c r="B121" s="243"/>
      <c r="C121" s="219"/>
      <c r="D121" s="219"/>
      <c r="E121" s="219"/>
      <c r="F121" s="219"/>
      <c r="G121" s="219"/>
      <c r="H121" s="219"/>
    </row>
    <row r="122" spans="1:10" ht="18.75" x14ac:dyDescent="0.3">
      <c r="B122" s="309" t="s">
        <v>24</v>
      </c>
      <c r="C122" s="309"/>
      <c r="E122" s="241" t="s">
        <v>25</v>
      </c>
      <c r="F122" s="220"/>
      <c r="G122" s="309" t="s">
        <v>26</v>
      </c>
      <c r="H122" s="309"/>
    </row>
    <row r="123" spans="1:10" ht="69.95" customHeight="1" x14ac:dyDescent="0.3">
      <c r="A123" s="221" t="s">
        <v>27</v>
      </c>
      <c r="B123" s="222"/>
      <c r="C123" s="222"/>
      <c r="E123" s="222"/>
      <c r="F123" s="173"/>
      <c r="G123" s="222"/>
      <c r="H123" s="222"/>
    </row>
    <row r="124" spans="1:10" ht="69.95" customHeight="1" x14ac:dyDescent="0.3">
      <c r="A124" s="221" t="s">
        <v>28</v>
      </c>
      <c r="B124" s="223"/>
      <c r="C124" s="223"/>
      <c r="E124" s="223"/>
      <c r="F124" s="173"/>
      <c r="G124" s="224"/>
      <c r="H124" s="224"/>
    </row>
    <row r="125" spans="1:10" ht="18.75" x14ac:dyDescent="0.3">
      <c r="A125" s="187"/>
      <c r="B125" s="187"/>
      <c r="C125" s="187"/>
      <c r="D125" s="187"/>
      <c r="E125" s="187"/>
      <c r="F125" s="170"/>
      <c r="G125" s="187"/>
      <c r="H125" s="187"/>
      <c r="I125" s="173"/>
    </row>
    <row r="126" spans="1:10" ht="18.75" x14ac:dyDescent="0.3">
      <c r="A126" s="187"/>
      <c r="B126" s="187"/>
      <c r="C126" s="187"/>
      <c r="D126" s="187"/>
      <c r="E126" s="187"/>
      <c r="F126" s="170"/>
      <c r="G126" s="187"/>
      <c r="H126" s="187"/>
      <c r="I126" s="173"/>
    </row>
    <row r="127" spans="1:10" ht="18.75" x14ac:dyDescent="0.3">
      <c r="A127" s="187"/>
      <c r="B127" s="187"/>
      <c r="C127" s="187"/>
      <c r="D127" s="187"/>
      <c r="E127" s="187"/>
      <c r="F127" s="170"/>
      <c r="G127" s="187"/>
      <c r="H127" s="187"/>
      <c r="I127" s="173"/>
    </row>
    <row r="128" spans="1:10" ht="18.75" x14ac:dyDescent="0.3">
      <c r="A128" s="187"/>
      <c r="B128" s="187"/>
      <c r="C128" s="187"/>
      <c r="D128" s="187"/>
      <c r="E128" s="187"/>
      <c r="F128" s="170"/>
      <c r="G128" s="187"/>
      <c r="H128" s="187"/>
      <c r="I128" s="173"/>
    </row>
    <row r="129" spans="1:9" ht="18.75" x14ac:dyDescent="0.3">
      <c r="A129" s="187"/>
      <c r="B129" s="187"/>
      <c r="C129" s="187"/>
      <c r="D129" s="187"/>
      <c r="E129" s="187"/>
      <c r="F129" s="170"/>
      <c r="G129" s="187"/>
      <c r="H129" s="187"/>
      <c r="I129" s="173"/>
    </row>
    <row r="130" spans="1:9" ht="18.75" x14ac:dyDescent="0.3">
      <c r="A130" s="187"/>
      <c r="B130" s="187"/>
      <c r="C130" s="187"/>
      <c r="D130" s="187"/>
      <c r="E130" s="187"/>
      <c r="F130" s="170"/>
      <c r="G130" s="187"/>
      <c r="H130" s="187"/>
      <c r="I130" s="173"/>
    </row>
    <row r="131" spans="1:9" ht="18.75" x14ac:dyDescent="0.3">
      <c r="A131" s="187"/>
      <c r="B131" s="187"/>
      <c r="C131" s="187"/>
      <c r="D131" s="187"/>
      <c r="E131" s="187"/>
      <c r="F131" s="170"/>
      <c r="G131" s="187"/>
      <c r="H131" s="187"/>
      <c r="I131" s="173"/>
    </row>
    <row r="132" spans="1:9" ht="18.75" x14ac:dyDescent="0.3">
      <c r="A132" s="187"/>
      <c r="B132" s="187"/>
      <c r="C132" s="187"/>
      <c r="D132" s="187"/>
      <c r="E132" s="187"/>
      <c r="F132" s="170"/>
      <c r="G132" s="187"/>
      <c r="H132" s="187"/>
      <c r="I132" s="173"/>
    </row>
    <row r="133" spans="1:9" ht="18.75" x14ac:dyDescent="0.3">
      <c r="A133" s="187"/>
      <c r="B133" s="187"/>
      <c r="C133" s="187"/>
      <c r="D133" s="187"/>
      <c r="E133" s="187"/>
      <c r="F133" s="170"/>
      <c r="G133" s="187"/>
      <c r="H133" s="187"/>
      <c r="I133" s="173"/>
    </row>
    <row r="250" spans="1:1" x14ac:dyDescent="0.25">
      <c r="A250" s="19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E37" sqref="E37"/>
    </sheetView>
  </sheetViews>
  <sheetFormatPr defaultColWidth="9.140625" defaultRowHeight="13.5" x14ac:dyDescent="0.25"/>
  <cols>
    <col min="1" max="1" width="55.42578125" style="190" customWidth="1"/>
    <col min="2" max="2" width="33.7109375" style="190" customWidth="1"/>
    <col min="3" max="3" width="42.28515625" style="190" customWidth="1"/>
    <col min="4" max="4" width="30.5703125" style="190" customWidth="1"/>
    <col min="5" max="5" width="39.85546875" style="190" customWidth="1"/>
    <col min="6" max="6" width="30.7109375" style="190" customWidth="1"/>
    <col min="7" max="7" width="39.85546875" style="190" customWidth="1"/>
    <col min="8" max="8" width="30" style="190" customWidth="1"/>
    <col min="9" max="9" width="30.28515625" style="190" hidden="1" customWidth="1"/>
    <col min="10" max="10" width="30.42578125" style="190" customWidth="1"/>
    <col min="11" max="11" width="21.28515625" style="190" customWidth="1"/>
    <col min="12" max="12" width="9.140625" style="190"/>
    <col min="13" max="16384" width="9.140625" style="31"/>
  </cols>
  <sheetData>
    <row r="1" spans="1:9" ht="18.75" customHeight="1" x14ac:dyDescent="0.25">
      <c r="A1" s="274" t="s">
        <v>43</v>
      </c>
      <c r="B1" s="274"/>
      <c r="C1" s="274"/>
      <c r="D1" s="274"/>
      <c r="E1" s="274"/>
      <c r="F1" s="274"/>
      <c r="G1" s="274"/>
      <c r="H1" s="274"/>
      <c r="I1" s="274"/>
    </row>
    <row r="2" spans="1:9" ht="18.75" customHeight="1" x14ac:dyDescent="0.25">
      <c r="A2" s="274"/>
      <c r="B2" s="274"/>
      <c r="C2" s="274"/>
      <c r="D2" s="274"/>
      <c r="E2" s="274"/>
      <c r="F2" s="274"/>
      <c r="G2" s="274"/>
      <c r="H2" s="274"/>
      <c r="I2" s="274"/>
    </row>
    <row r="3" spans="1:9" ht="18.75" customHeight="1" x14ac:dyDescent="0.25">
      <c r="A3" s="274"/>
      <c r="B3" s="274"/>
      <c r="C3" s="274"/>
      <c r="D3" s="274"/>
      <c r="E3" s="274"/>
      <c r="F3" s="274"/>
      <c r="G3" s="274"/>
      <c r="H3" s="274"/>
      <c r="I3" s="274"/>
    </row>
    <row r="4" spans="1:9" ht="18.75" customHeight="1" x14ac:dyDescent="0.25">
      <c r="A4" s="274"/>
      <c r="B4" s="274"/>
      <c r="C4" s="274"/>
      <c r="D4" s="274"/>
      <c r="E4" s="274"/>
      <c r="F4" s="274"/>
      <c r="G4" s="274"/>
      <c r="H4" s="274"/>
      <c r="I4" s="274"/>
    </row>
    <row r="5" spans="1:9" ht="18.75" customHeight="1" x14ac:dyDescent="0.25">
      <c r="A5" s="274"/>
      <c r="B5" s="274"/>
      <c r="C5" s="274"/>
      <c r="D5" s="274"/>
      <c r="E5" s="274"/>
      <c r="F5" s="274"/>
      <c r="G5" s="274"/>
      <c r="H5" s="274"/>
      <c r="I5" s="274"/>
    </row>
    <row r="6" spans="1:9" ht="18.75" customHeight="1" x14ac:dyDescent="0.25">
      <c r="A6" s="274"/>
      <c r="B6" s="274"/>
      <c r="C6" s="274"/>
      <c r="D6" s="274"/>
      <c r="E6" s="274"/>
      <c r="F6" s="274"/>
      <c r="G6" s="274"/>
      <c r="H6" s="274"/>
      <c r="I6" s="274"/>
    </row>
    <row r="7" spans="1:9" ht="18.75" customHeight="1" x14ac:dyDescent="0.25">
      <c r="A7" s="274"/>
      <c r="B7" s="274"/>
      <c r="C7" s="274"/>
      <c r="D7" s="274"/>
      <c r="E7" s="274"/>
      <c r="F7" s="274"/>
      <c r="G7" s="274"/>
      <c r="H7" s="274"/>
      <c r="I7" s="274"/>
    </row>
    <row r="8" spans="1:9" x14ac:dyDescent="0.25">
      <c r="A8" s="275" t="s">
        <v>44</v>
      </c>
      <c r="B8" s="275"/>
      <c r="C8" s="275"/>
      <c r="D8" s="275"/>
      <c r="E8" s="275"/>
      <c r="F8" s="275"/>
      <c r="G8" s="275"/>
      <c r="H8" s="275"/>
      <c r="I8" s="275"/>
    </row>
    <row r="9" spans="1:9" x14ac:dyDescent="0.25">
      <c r="A9" s="275"/>
      <c r="B9" s="275"/>
      <c r="C9" s="275"/>
      <c r="D9" s="275"/>
      <c r="E9" s="275"/>
      <c r="F9" s="275"/>
      <c r="G9" s="275"/>
      <c r="H9" s="275"/>
      <c r="I9" s="275"/>
    </row>
    <row r="10" spans="1:9" x14ac:dyDescent="0.25">
      <c r="A10" s="275"/>
      <c r="B10" s="275"/>
      <c r="C10" s="275"/>
      <c r="D10" s="275"/>
      <c r="E10" s="275"/>
      <c r="F10" s="275"/>
      <c r="G10" s="275"/>
      <c r="H10" s="275"/>
      <c r="I10" s="275"/>
    </row>
    <row r="11" spans="1:9" x14ac:dyDescent="0.25">
      <c r="A11" s="275"/>
      <c r="B11" s="275"/>
      <c r="C11" s="275"/>
      <c r="D11" s="275"/>
      <c r="E11" s="275"/>
      <c r="F11" s="275"/>
      <c r="G11" s="275"/>
      <c r="H11" s="275"/>
      <c r="I11" s="275"/>
    </row>
    <row r="12" spans="1:9" x14ac:dyDescent="0.25">
      <c r="A12" s="275"/>
      <c r="B12" s="275"/>
      <c r="C12" s="275"/>
      <c r="D12" s="275"/>
      <c r="E12" s="275"/>
      <c r="F12" s="275"/>
      <c r="G12" s="275"/>
      <c r="H12" s="275"/>
      <c r="I12" s="275"/>
    </row>
    <row r="13" spans="1:9" x14ac:dyDescent="0.25">
      <c r="A13" s="275"/>
      <c r="B13" s="275"/>
      <c r="C13" s="275"/>
      <c r="D13" s="275"/>
      <c r="E13" s="275"/>
      <c r="F13" s="275"/>
      <c r="G13" s="275"/>
      <c r="H13" s="275"/>
      <c r="I13" s="275"/>
    </row>
    <row r="14" spans="1:9" x14ac:dyDescent="0.25">
      <c r="A14" s="275"/>
      <c r="B14" s="275"/>
      <c r="C14" s="275"/>
      <c r="D14" s="275"/>
      <c r="E14" s="275"/>
      <c r="F14" s="275"/>
      <c r="G14" s="275"/>
      <c r="H14" s="275"/>
      <c r="I14" s="275"/>
    </row>
    <row r="15" spans="1:9" ht="19.5" customHeight="1" thickBot="1" x14ac:dyDescent="0.35">
      <c r="A15" s="173"/>
    </row>
    <row r="16" spans="1:9" ht="19.5" customHeight="1" thickBot="1" x14ac:dyDescent="0.35">
      <c r="A16" s="276" t="s">
        <v>29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45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83" t="s">
        <v>31</v>
      </c>
      <c r="B18" s="280" t="s">
        <v>4</v>
      </c>
      <c r="C18" s="280"/>
      <c r="D18" s="226"/>
      <c r="E18" s="84"/>
      <c r="F18" s="239"/>
      <c r="G18" s="239"/>
      <c r="H18" s="239"/>
    </row>
    <row r="19" spans="1:14" ht="26.25" customHeight="1" x14ac:dyDescent="0.4">
      <c r="A19" s="83" t="s">
        <v>32</v>
      </c>
      <c r="B19" s="244" t="s">
        <v>6</v>
      </c>
      <c r="C19" s="239">
        <v>29</v>
      </c>
      <c r="D19" s="239"/>
      <c r="E19" s="239"/>
      <c r="F19" s="239"/>
      <c r="G19" s="239"/>
      <c r="H19" s="239"/>
    </row>
    <row r="20" spans="1:14" ht="26.25" customHeight="1" x14ac:dyDescent="0.4">
      <c r="A20" s="83" t="s">
        <v>33</v>
      </c>
      <c r="B20" s="281" t="s">
        <v>8</v>
      </c>
      <c r="C20" s="281"/>
      <c r="D20" s="239"/>
      <c r="E20" s="239"/>
      <c r="F20" s="239"/>
      <c r="G20" s="239"/>
      <c r="H20" s="239"/>
    </row>
    <row r="21" spans="1:14" ht="26.25" customHeight="1" x14ac:dyDescent="0.4">
      <c r="A21" s="83" t="s">
        <v>34</v>
      </c>
      <c r="B21" s="281" t="s">
        <v>10</v>
      </c>
      <c r="C21" s="281"/>
      <c r="D21" s="281"/>
      <c r="E21" s="281"/>
      <c r="F21" s="281"/>
      <c r="G21" s="281"/>
      <c r="H21" s="281"/>
      <c r="I21" s="85"/>
    </row>
    <row r="22" spans="1:14" ht="26.25" customHeight="1" x14ac:dyDescent="0.4">
      <c r="A22" s="83" t="s">
        <v>35</v>
      </c>
      <c r="B22" s="86" t="s">
        <v>11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83" t="s">
        <v>36</v>
      </c>
      <c r="B23" s="86"/>
      <c r="C23" s="239"/>
      <c r="D23" s="239"/>
      <c r="E23" s="239"/>
      <c r="F23" s="239"/>
      <c r="G23" s="239"/>
      <c r="H23" s="239"/>
    </row>
    <row r="24" spans="1:14" ht="18.75" x14ac:dyDescent="0.3">
      <c r="A24" s="83"/>
      <c r="B24" s="87"/>
    </row>
    <row r="25" spans="1:14" ht="18.75" x14ac:dyDescent="0.3">
      <c r="A25" s="88" t="s">
        <v>1</v>
      </c>
      <c r="B25" s="87"/>
    </row>
    <row r="26" spans="1:14" ht="26.25" customHeight="1" x14ac:dyDescent="0.4">
      <c r="A26" s="221" t="s">
        <v>3</v>
      </c>
      <c r="B26" s="280"/>
      <c r="C26" s="280"/>
    </row>
    <row r="27" spans="1:14" ht="26.25" customHeight="1" x14ac:dyDescent="0.4">
      <c r="A27" s="179" t="s">
        <v>46</v>
      </c>
      <c r="B27" s="282"/>
      <c r="C27" s="282"/>
    </row>
    <row r="28" spans="1:14" ht="27" customHeight="1" thickBot="1" x14ac:dyDescent="0.45">
      <c r="A28" s="179" t="s">
        <v>5</v>
      </c>
      <c r="B28" s="175">
        <v>96.4</v>
      </c>
    </row>
    <row r="29" spans="1:14" s="8" customFormat="1" ht="27" customHeight="1" thickBot="1" x14ac:dyDescent="0.45">
      <c r="A29" s="179" t="s">
        <v>47</v>
      </c>
      <c r="B29" s="89"/>
      <c r="C29" s="283" t="s">
        <v>48</v>
      </c>
      <c r="D29" s="284"/>
      <c r="E29" s="284"/>
      <c r="F29" s="284"/>
      <c r="G29" s="285"/>
      <c r="I29" s="90"/>
      <c r="J29" s="90"/>
      <c r="K29" s="90"/>
      <c r="L29" s="90"/>
    </row>
    <row r="30" spans="1:14" s="8" customFormat="1" ht="19.5" customHeight="1" thickBot="1" x14ac:dyDescent="0.35">
      <c r="A30" s="179" t="s">
        <v>49</v>
      </c>
      <c r="B30" s="240">
        <f>B28-B29</f>
        <v>96.4</v>
      </c>
      <c r="C30" s="91"/>
      <c r="D30" s="91"/>
      <c r="E30" s="91"/>
      <c r="F30" s="91"/>
      <c r="G30" s="92"/>
      <c r="I30" s="90"/>
      <c r="J30" s="90"/>
      <c r="K30" s="90"/>
      <c r="L30" s="90"/>
    </row>
    <row r="31" spans="1:14" s="8" customFormat="1" ht="27" customHeight="1" thickBot="1" x14ac:dyDescent="0.45">
      <c r="A31" s="179" t="s">
        <v>50</v>
      </c>
      <c r="B31" s="93">
        <v>1</v>
      </c>
      <c r="C31" s="271" t="s">
        <v>51</v>
      </c>
      <c r="D31" s="272"/>
      <c r="E31" s="272"/>
      <c r="F31" s="272"/>
      <c r="G31" s="272"/>
      <c r="H31" s="273"/>
      <c r="I31" s="90"/>
      <c r="J31" s="90"/>
      <c r="K31" s="90"/>
      <c r="L31" s="90"/>
    </row>
    <row r="32" spans="1:14" s="8" customFormat="1" ht="27" customHeight="1" thickBot="1" x14ac:dyDescent="0.45">
      <c r="A32" s="179" t="s">
        <v>52</v>
      </c>
      <c r="B32" s="93">
        <v>1</v>
      </c>
      <c r="C32" s="271" t="s">
        <v>53</v>
      </c>
      <c r="D32" s="272"/>
      <c r="E32" s="272"/>
      <c r="F32" s="272"/>
      <c r="G32" s="272"/>
      <c r="H32" s="273"/>
      <c r="I32" s="90"/>
      <c r="J32" s="90"/>
      <c r="K32" s="90"/>
      <c r="L32" s="94"/>
      <c r="M32" s="94"/>
      <c r="N32" s="95"/>
    </row>
    <row r="33" spans="1:14" s="8" customFormat="1" ht="17.25" customHeight="1" x14ac:dyDescent="0.3">
      <c r="A33" s="179"/>
      <c r="B33" s="96"/>
      <c r="C33" s="97"/>
      <c r="D33" s="97"/>
      <c r="E33" s="97"/>
      <c r="F33" s="97"/>
      <c r="G33" s="97"/>
      <c r="H33" s="97"/>
      <c r="I33" s="90"/>
      <c r="J33" s="90"/>
      <c r="K33" s="90"/>
      <c r="L33" s="94"/>
      <c r="M33" s="94"/>
      <c r="N33" s="95"/>
    </row>
    <row r="34" spans="1:14" s="8" customFormat="1" ht="18.75" x14ac:dyDescent="0.3">
      <c r="A34" s="179" t="s">
        <v>54</v>
      </c>
      <c r="B34" s="98">
        <f>B31/B32</f>
        <v>1</v>
      </c>
      <c r="C34" s="173" t="s">
        <v>55</v>
      </c>
      <c r="D34" s="173"/>
      <c r="E34" s="173"/>
      <c r="F34" s="173"/>
      <c r="G34" s="173"/>
      <c r="I34" s="90"/>
      <c r="J34" s="90"/>
      <c r="K34" s="90"/>
      <c r="L34" s="94"/>
      <c r="M34" s="94"/>
      <c r="N34" s="95"/>
    </row>
    <row r="35" spans="1:14" s="8" customFormat="1" ht="19.5" customHeight="1" thickBot="1" x14ac:dyDescent="0.35">
      <c r="A35" s="179"/>
      <c r="B35" s="240"/>
      <c r="G35" s="173"/>
      <c r="I35" s="90"/>
      <c r="J35" s="90"/>
      <c r="K35" s="90"/>
      <c r="L35" s="94"/>
      <c r="M35" s="94"/>
      <c r="N35" s="95"/>
    </row>
    <row r="36" spans="1:14" s="8" customFormat="1" ht="27" customHeight="1" thickBot="1" x14ac:dyDescent="0.45">
      <c r="A36" s="99" t="s">
        <v>56</v>
      </c>
      <c r="B36" s="100">
        <v>10</v>
      </c>
      <c r="C36" s="173"/>
      <c r="D36" s="286" t="s">
        <v>57</v>
      </c>
      <c r="E36" s="287"/>
      <c r="F36" s="286" t="s">
        <v>58</v>
      </c>
      <c r="G36" s="288"/>
      <c r="J36" s="90"/>
      <c r="K36" s="90"/>
      <c r="L36" s="94"/>
      <c r="M36" s="94"/>
      <c r="N36" s="95"/>
    </row>
    <row r="37" spans="1:14" s="8" customFormat="1" ht="27" customHeight="1" thickBot="1" x14ac:dyDescent="0.45">
      <c r="A37" s="101" t="s">
        <v>59</v>
      </c>
      <c r="B37" s="102">
        <v>3</v>
      </c>
      <c r="C37" s="103" t="s">
        <v>60</v>
      </c>
      <c r="D37" s="104" t="s">
        <v>61</v>
      </c>
      <c r="E37" s="105" t="s">
        <v>62</v>
      </c>
      <c r="F37" s="104" t="s">
        <v>61</v>
      </c>
      <c r="G37" s="106" t="s">
        <v>62</v>
      </c>
      <c r="I37" s="107" t="s">
        <v>63</v>
      </c>
      <c r="J37" s="90"/>
      <c r="K37" s="90"/>
      <c r="L37" s="94"/>
      <c r="M37" s="94"/>
      <c r="N37" s="95"/>
    </row>
    <row r="38" spans="1:14" s="8" customFormat="1" ht="26.25" customHeight="1" x14ac:dyDescent="0.4">
      <c r="A38" s="101" t="s">
        <v>64</v>
      </c>
      <c r="B38" s="102">
        <v>20</v>
      </c>
      <c r="C38" s="108">
        <v>1</v>
      </c>
      <c r="D38" s="109">
        <v>82328986</v>
      </c>
      <c r="E38" s="110">
        <f>IF(ISBLANK(D38),"-",$D$48/$D$45*D38)</f>
        <v>69452661.874162465</v>
      </c>
      <c r="F38" s="109">
        <v>99606490</v>
      </c>
      <c r="G38" s="111">
        <f>IF(ISBLANK(F38),"-",$D$48/$F$45*F38)</f>
        <v>70171187.64557372</v>
      </c>
      <c r="I38" s="112"/>
      <c r="J38" s="90"/>
      <c r="K38" s="90"/>
      <c r="L38" s="94"/>
      <c r="M38" s="94"/>
      <c r="N38" s="95"/>
    </row>
    <row r="39" spans="1:14" s="8" customFormat="1" ht="26.25" customHeight="1" x14ac:dyDescent="0.4">
      <c r="A39" s="101" t="s">
        <v>65</v>
      </c>
      <c r="B39" s="102">
        <v>1</v>
      </c>
      <c r="C39" s="130">
        <v>2</v>
      </c>
      <c r="D39" s="113">
        <v>82385629</v>
      </c>
      <c r="E39" s="114">
        <f>IF(ISBLANK(D39),"-",$D$48/$D$45*D39)</f>
        <v>69500445.860309675</v>
      </c>
      <c r="F39" s="113">
        <v>99551481</v>
      </c>
      <c r="G39" s="115">
        <f>IF(ISBLANK(F39),"-",$D$48/$F$45*F39)</f>
        <v>70132434.680167601</v>
      </c>
      <c r="I39" s="289">
        <f>ABS((F43/D43*D42)-F42)/D42</f>
        <v>1.0952369803823813E-2</v>
      </c>
      <c r="J39" s="90"/>
      <c r="K39" s="90"/>
      <c r="L39" s="94"/>
      <c r="M39" s="94"/>
      <c r="N39" s="95"/>
    </row>
    <row r="40" spans="1:14" ht="26.25" customHeight="1" x14ac:dyDescent="0.4">
      <c r="A40" s="101" t="s">
        <v>66</v>
      </c>
      <c r="B40" s="102">
        <v>1</v>
      </c>
      <c r="C40" s="130">
        <v>3</v>
      </c>
      <c r="D40" s="113">
        <v>82329861</v>
      </c>
      <c r="E40" s="114">
        <f>IF(ISBLANK(D40),"-",$D$48/$D$45*D40)</f>
        <v>69453400.023410901</v>
      </c>
      <c r="F40" s="113">
        <v>99376302</v>
      </c>
      <c r="G40" s="115">
        <f>IF(ISBLANK(F40),"-",$D$48/$F$45*F40)</f>
        <v>70009023.861449212</v>
      </c>
      <c r="I40" s="289"/>
      <c r="L40" s="94"/>
      <c r="M40" s="94"/>
      <c r="N40" s="173"/>
    </row>
    <row r="41" spans="1:14" ht="27" customHeight="1" thickBot="1" x14ac:dyDescent="0.45">
      <c r="A41" s="101" t="s">
        <v>67</v>
      </c>
      <c r="B41" s="102">
        <v>1</v>
      </c>
      <c r="C41" s="116">
        <v>4</v>
      </c>
      <c r="D41" s="117"/>
      <c r="E41" s="118" t="str">
        <f>IF(ISBLANK(D41),"-",$D$48/$D$45*D41)</f>
        <v>-</v>
      </c>
      <c r="F41" s="117"/>
      <c r="G41" s="119" t="str">
        <f>IF(ISBLANK(F41),"-",$D$48/$F$45*F41)</f>
        <v>-</v>
      </c>
      <c r="I41" s="120"/>
      <c r="L41" s="94"/>
      <c r="M41" s="94"/>
      <c r="N41" s="173"/>
    </row>
    <row r="42" spans="1:14" ht="27" customHeight="1" thickBot="1" x14ac:dyDescent="0.45">
      <c r="A42" s="101" t="s">
        <v>68</v>
      </c>
      <c r="B42" s="102">
        <v>1</v>
      </c>
      <c r="C42" s="121" t="s">
        <v>69</v>
      </c>
      <c r="D42" s="122">
        <f>AVERAGE(D38:D41)</f>
        <v>82348158.666666672</v>
      </c>
      <c r="E42" s="123">
        <f>AVERAGE(E38:E41)</f>
        <v>69468835.919294357</v>
      </c>
      <c r="F42" s="122">
        <f>AVERAGE(F38:F41)</f>
        <v>99511424.333333328</v>
      </c>
      <c r="G42" s="124">
        <f>AVERAGE(G38:G41)</f>
        <v>70104215.395730183</v>
      </c>
      <c r="H42" s="125"/>
    </row>
    <row r="43" spans="1:14" ht="26.25" customHeight="1" x14ac:dyDescent="0.4">
      <c r="A43" s="101" t="s">
        <v>70</v>
      </c>
      <c r="B43" s="102">
        <v>1</v>
      </c>
      <c r="C43" s="126" t="s">
        <v>71</v>
      </c>
      <c r="D43" s="127">
        <v>10.28</v>
      </c>
      <c r="E43" s="173"/>
      <c r="F43" s="127">
        <v>12.31</v>
      </c>
      <c r="H43" s="125"/>
    </row>
    <row r="44" spans="1:14" ht="26.25" customHeight="1" x14ac:dyDescent="0.4">
      <c r="A44" s="101" t="s">
        <v>72</v>
      </c>
      <c r="B44" s="102">
        <v>1</v>
      </c>
      <c r="C44" s="128" t="s">
        <v>73</v>
      </c>
      <c r="D44" s="129">
        <f>D43*$B$34</f>
        <v>10.28</v>
      </c>
      <c r="E44" s="187"/>
      <c r="F44" s="129">
        <f>F43*$B$34</f>
        <v>12.31</v>
      </c>
      <c r="H44" s="125"/>
    </row>
    <row r="45" spans="1:14" ht="19.5" customHeight="1" thickBot="1" x14ac:dyDescent="0.35">
      <c r="A45" s="101" t="s">
        <v>74</v>
      </c>
      <c r="B45" s="130">
        <f>(B44/B43)*(B42/B41)*(B40/B39)*(B38/B37)*B36</f>
        <v>66.666666666666671</v>
      </c>
      <c r="C45" s="128" t="s">
        <v>75</v>
      </c>
      <c r="D45" s="131">
        <f>D44*$B$30/100</f>
        <v>9.9099199999999996</v>
      </c>
      <c r="E45" s="170"/>
      <c r="F45" s="131">
        <f>F44*$B$30/100</f>
        <v>11.866840000000002</v>
      </c>
      <c r="H45" s="125"/>
    </row>
    <row r="46" spans="1:14" ht="19.5" customHeight="1" thickBot="1" x14ac:dyDescent="0.35">
      <c r="A46" s="290" t="s">
        <v>76</v>
      </c>
      <c r="B46" s="291"/>
      <c r="C46" s="128" t="s">
        <v>77</v>
      </c>
      <c r="D46" s="132">
        <f>D45/$B$45</f>
        <v>0.14864879999999997</v>
      </c>
      <c r="E46" s="133"/>
      <c r="F46" s="134">
        <f>F45/$B$45</f>
        <v>0.17800260000000001</v>
      </c>
      <c r="H46" s="125"/>
    </row>
    <row r="47" spans="1:14" ht="27" customHeight="1" thickBot="1" x14ac:dyDescent="0.45">
      <c r="A47" s="292"/>
      <c r="B47" s="293"/>
      <c r="C47" s="135" t="s">
        <v>78</v>
      </c>
      <c r="D47" s="136">
        <v>0.12540000000000001</v>
      </c>
      <c r="E47" s="137"/>
      <c r="F47" s="133"/>
      <c r="H47" s="125"/>
    </row>
    <row r="48" spans="1:14" ht="18.75" x14ac:dyDescent="0.3">
      <c r="C48" s="138" t="s">
        <v>79</v>
      </c>
      <c r="D48" s="131">
        <f>D47*$B$45</f>
        <v>8.3600000000000012</v>
      </c>
      <c r="F48" s="139"/>
      <c r="H48" s="125"/>
    </row>
    <row r="49" spans="1:12" ht="19.5" customHeight="1" thickBot="1" x14ac:dyDescent="0.35">
      <c r="C49" s="140" t="s">
        <v>80</v>
      </c>
      <c r="D49" s="141">
        <f>D48/B34</f>
        <v>8.3600000000000012</v>
      </c>
      <c r="F49" s="139"/>
      <c r="H49" s="125"/>
    </row>
    <row r="50" spans="1:12" ht="18.75" x14ac:dyDescent="0.3">
      <c r="C50" s="99" t="s">
        <v>81</v>
      </c>
      <c r="D50" s="142">
        <f>AVERAGE(E38:E41,G38:G41)</f>
        <v>69786525.657512262</v>
      </c>
      <c r="F50" s="143"/>
      <c r="H50" s="125"/>
    </row>
    <row r="51" spans="1:12" ht="18.75" x14ac:dyDescent="0.3">
      <c r="C51" s="101" t="s">
        <v>82</v>
      </c>
      <c r="D51" s="144">
        <f>STDEV(E38:E41,G38:G41)/D50</f>
        <v>5.0516120743625071E-3</v>
      </c>
      <c r="F51" s="143"/>
      <c r="H51" s="125"/>
    </row>
    <row r="52" spans="1:12" ht="19.5" customHeight="1" thickBot="1" x14ac:dyDescent="0.35">
      <c r="C52" s="145" t="s">
        <v>19</v>
      </c>
      <c r="D52" s="146">
        <f>COUNT(E38:E41,G38:G41)</f>
        <v>6</v>
      </c>
      <c r="F52" s="143"/>
    </row>
    <row r="54" spans="1:12" ht="18.75" x14ac:dyDescent="0.3">
      <c r="A54" s="147" t="s">
        <v>1</v>
      </c>
      <c r="B54" s="148" t="s">
        <v>83</v>
      </c>
    </row>
    <row r="55" spans="1:12" ht="18.75" x14ac:dyDescent="0.3">
      <c r="A55" s="173" t="s">
        <v>84</v>
      </c>
      <c r="B55" s="149" t="str">
        <f>B21</f>
        <v>Each film coated tablet contains Amoxicillin Trihydrate Ph. Eur. eq to amoxicillin 500 mg, Clavualnate Potassium Ph. Eur. eq to Clavulanic acid 125 mg</v>
      </c>
    </row>
    <row r="56" spans="1:12" ht="26.25" customHeight="1" x14ac:dyDescent="0.4">
      <c r="A56" s="149" t="s">
        <v>85</v>
      </c>
      <c r="B56" s="150">
        <v>125</v>
      </c>
      <c r="C56" s="173" t="str">
        <f>B20</f>
        <v>AMOXICILLIN 500MG</v>
      </c>
      <c r="H56" s="187"/>
    </row>
    <row r="57" spans="1:12" ht="18.75" x14ac:dyDescent="0.3">
      <c r="A57" s="149" t="s">
        <v>86</v>
      </c>
      <c r="B57" s="227">
        <f>Uniformity!C46</f>
        <v>1202.4384999999997</v>
      </c>
      <c r="H57" s="187"/>
    </row>
    <row r="58" spans="1:12" ht="19.5" customHeight="1" thickBot="1" x14ac:dyDescent="0.35">
      <c r="H58" s="187"/>
    </row>
    <row r="59" spans="1:12" s="8" customFormat="1" ht="27" customHeight="1" thickBot="1" x14ac:dyDescent="0.45">
      <c r="A59" s="99" t="s">
        <v>87</v>
      </c>
      <c r="B59" s="100">
        <v>100</v>
      </c>
      <c r="C59" s="173"/>
      <c r="D59" s="151" t="s">
        <v>88</v>
      </c>
      <c r="E59" s="152" t="s">
        <v>60</v>
      </c>
      <c r="F59" s="152" t="s">
        <v>61</v>
      </c>
      <c r="G59" s="152" t="s">
        <v>89</v>
      </c>
      <c r="H59" s="103" t="s">
        <v>90</v>
      </c>
      <c r="L59" s="90"/>
    </row>
    <row r="60" spans="1:12" s="8" customFormat="1" ht="26.25" customHeight="1" x14ac:dyDescent="0.4">
      <c r="A60" s="101" t="s">
        <v>91</v>
      </c>
      <c r="B60" s="102">
        <v>1</v>
      </c>
      <c r="C60" s="294" t="s">
        <v>92</v>
      </c>
      <c r="D60" s="297">
        <v>140.41</v>
      </c>
      <c r="E60" s="153">
        <v>1</v>
      </c>
      <c r="F60" s="154">
        <v>82333161</v>
      </c>
      <c r="G60" s="228">
        <f>IF(ISBLANK(F60),"-",(F60/$D$50*$D$47*$B$68)*($B$57/$D$60))</f>
        <v>126.69678145987439</v>
      </c>
      <c r="H60" s="255">
        <f>IF(ISBLANK(F60),"-",G60/$B$56)</f>
        <v>1.0135742516789952</v>
      </c>
      <c r="I60" s="254"/>
      <c r="L60" s="90"/>
    </row>
    <row r="61" spans="1:12" s="8" customFormat="1" ht="26.25" customHeight="1" x14ac:dyDescent="0.4">
      <c r="A61" s="101" t="s">
        <v>93</v>
      </c>
      <c r="B61" s="102">
        <v>1</v>
      </c>
      <c r="C61" s="295"/>
      <c r="D61" s="298"/>
      <c r="E61" s="156">
        <v>2</v>
      </c>
      <c r="F61" s="113">
        <v>82343878</v>
      </c>
      <c r="G61" s="229">
        <f>IF(ISBLANK(F61),"-",(F61/$D$50*$D$47*$B$68)*($B$57/$D$60))</f>
        <v>126.71327310662298</v>
      </c>
      <c r="H61" s="256">
        <f t="shared" ref="H61:H69" si="0">IF(ISBLANK(F61),"-",G61/$B$56)</f>
        <v>1.0137061848529838</v>
      </c>
      <c r="I61" s="254"/>
      <c r="L61" s="90"/>
    </row>
    <row r="62" spans="1:12" s="8" customFormat="1" ht="26.25" customHeight="1" x14ac:dyDescent="0.4">
      <c r="A62" s="101" t="s">
        <v>94</v>
      </c>
      <c r="B62" s="102">
        <v>1</v>
      </c>
      <c r="C62" s="295"/>
      <c r="D62" s="298"/>
      <c r="E62" s="156">
        <v>3</v>
      </c>
      <c r="F62" s="158">
        <v>82230050</v>
      </c>
      <c r="G62" s="229">
        <f>IF(ISBLANK(F62),"-",(F62/$D$50*$D$47*$B$68)*($B$57/$D$60))</f>
        <v>126.53811110549422</v>
      </c>
      <c r="H62" s="256">
        <f t="shared" si="0"/>
        <v>1.0123048888439539</v>
      </c>
      <c r="I62" s="254"/>
      <c r="L62" s="90"/>
    </row>
    <row r="63" spans="1:12" ht="27" customHeight="1" thickBot="1" x14ac:dyDescent="0.45">
      <c r="A63" s="101" t="s">
        <v>95</v>
      </c>
      <c r="B63" s="102">
        <v>1</v>
      </c>
      <c r="C63" s="296"/>
      <c r="D63" s="299"/>
      <c r="E63" s="159">
        <v>4</v>
      </c>
      <c r="F63" s="160"/>
      <c r="G63" s="229"/>
      <c r="H63" s="257" t="str">
        <f t="shared" si="0"/>
        <v>-</v>
      </c>
    </row>
    <row r="64" spans="1:12" ht="26.25" customHeight="1" x14ac:dyDescent="0.4">
      <c r="A64" s="101" t="s">
        <v>96</v>
      </c>
      <c r="B64" s="102">
        <v>1</v>
      </c>
      <c r="C64" s="294" t="s">
        <v>97</v>
      </c>
      <c r="D64" s="297">
        <v>154.19</v>
      </c>
      <c r="E64" s="153">
        <v>1</v>
      </c>
      <c r="F64" s="154">
        <v>89884047</v>
      </c>
      <c r="G64" s="228">
        <f>IF(ISBLANK(F64),"-",(F64/$D$50*$D$47*$B$68)*($B$57/$D$64))</f>
        <v>125.95495062151819</v>
      </c>
      <c r="H64" s="255">
        <f t="shared" si="0"/>
        <v>1.0076396049721454</v>
      </c>
    </row>
    <row r="65" spans="1:8" ht="26.25" customHeight="1" x14ac:dyDescent="0.4">
      <c r="A65" s="101" t="s">
        <v>98</v>
      </c>
      <c r="B65" s="102">
        <v>1</v>
      </c>
      <c r="C65" s="295"/>
      <c r="D65" s="298"/>
      <c r="E65" s="156">
        <v>2</v>
      </c>
      <c r="F65" s="113">
        <v>89739853</v>
      </c>
      <c r="G65" s="229">
        <f>IF(ISBLANK(F65),"-",(F65/$D$50*$D$47*$B$68)*($B$57/$D$64))</f>
        <v>125.75289087058243</v>
      </c>
      <c r="H65" s="256">
        <f t="shared" si="0"/>
        <v>1.0060231269646596</v>
      </c>
    </row>
    <row r="66" spans="1:8" ht="26.25" customHeight="1" x14ac:dyDescent="0.4">
      <c r="A66" s="101" t="s">
        <v>99</v>
      </c>
      <c r="B66" s="102">
        <v>1</v>
      </c>
      <c r="C66" s="295"/>
      <c r="D66" s="298"/>
      <c r="E66" s="156">
        <v>3</v>
      </c>
      <c r="F66" s="113">
        <v>89647445</v>
      </c>
      <c r="G66" s="229">
        <f>IF(ISBLANK(F66),"-",(F66/$D$50*$D$47*$B$68)*($B$57/$D$64))</f>
        <v>125.62339909239144</v>
      </c>
      <c r="H66" s="256">
        <f t="shared" si="0"/>
        <v>1.0049871927391314</v>
      </c>
    </row>
    <row r="67" spans="1:8" ht="27" customHeight="1" thickBot="1" x14ac:dyDescent="0.45">
      <c r="A67" s="101" t="s">
        <v>100</v>
      </c>
      <c r="B67" s="102">
        <v>1</v>
      </c>
      <c r="C67" s="296"/>
      <c r="D67" s="299"/>
      <c r="E67" s="159">
        <v>4</v>
      </c>
      <c r="F67" s="160"/>
      <c r="G67" s="258"/>
      <c r="H67" s="257" t="str">
        <f t="shared" si="0"/>
        <v>-</v>
      </c>
    </row>
    <row r="68" spans="1:8" ht="26.25" customHeight="1" x14ac:dyDescent="0.4">
      <c r="A68" s="101" t="s">
        <v>101</v>
      </c>
      <c r="B68" s="164">
        <f>(B67/B66)*(B65/B64)*(B63/B62)*(B61/B60)*B59</f>
        <v>100</v>
      </c>
      <c r="C68" s="294" t="s">
        <v>102</v>
      </c>
      <c r="D68" s="297">
        <v>166.97</v>
      </c>
      <c r="E68" s="153">
        <v>1</v>
      </c>
      <c r="F68" s="154">
        <v>100411543</v>
      </c>
      <c r="G68" s="228">
        <f>IF(ISBLANK(F68),"-",(F68/$D$50*$D$47*$B$68)*($B$57/$D$68))</f>
        <v>129.93735616418726</v>
      </c>
      <c r="H68" s="255">
        <f t="shared" si="0"/>
        <v>1.039498849313498</v>
      </c>
    </row>
    <row r="69" spans="1:8" ht="27" customHeight="1" thickBot="1" x14ac:dyDescent="0.45">
      <c r="A69" s="145" t="s">
        <v>103</v>
      </c>
      <c r="B69" s="165">
        <f>(D47*B68)/B56*B57</f>
        <v>120.62863031999998</v>
      </c>
      <c r="C69" s="295"/>
      <c r="D69" s="298"/>
      <c r="E69" s="156">
        <v>2</v>
      </c>
      <c r="F69" s="113">
        <v>100349302</v>
      </c>
      <c r="G69" s="229">
        <f>IF(ISBLANK(F69),"-",(F69/$D$50*$D$47*$B$68)*($B$57/$D$68))</f>
        <v>129.85681332276297</v>
      </c>
      <c r="H69" s="256">
        <f t="shared" si="0"/>
        <v>1.0388545065821038</v>
      </c>
    </row>
    <row r="70" spans="1:8" ht="26.25" customHeight="1" x14ac:dyDescent="0.4">
      <c r="A70" s="302" t="s">
        <v>76</v>
      </c>
      <c r="B70" s="303"/>
      <c r="C70" s="295"/>
      <c r="D70" s="298"/>
      <c r="E70" s="156">
        <v>3</v>
      </c>
      <c r="F70" s="113">
        <v>100346485</v>
      </c>
      <c r="G70" s="229">
        <f>IF(ISBLANK(F70),"-",(F70/$D$50*$D$47*$B$68)*($B$57/$D$68))</f>
        <v>129.85316798955347</v>
      </c>
      <c r="H70" s="256">
        <f t="shared" ref="H70:H71" si="1">IF(ISBLANK(F70),"-",G70/$B$56)</f>
        <v>1.0388253439164277</v>
      </c>
    </row>
    <row r="71" spans="1:8" ht="27" customHeight="1" thickBot="1" x14ac:dyDescent="0.45">
      <c r="A71" s="304"/>
      <c r="B71" s="305"/>
      <c r="C71" s="300"/>
      <c r="D71" s="299"/>
      <c r="E71" s="159">
        <v>4</v>
      </c>
      <c r="F71" s="160"/>
      <c r="G71" s="258" t="str">
        <f>IF(ISBLANK(F71),"-",(F71/$D$50*$D$47*$B$68)*($B$57/$D$68))</f>
        <v>-</v>
      </c>
      <c r="H71" s="257" t="str">
        <f t="shared" si="1"/>
        <v>-</v>
      </c>
    </row>
    <row r="72" spans="1:8" ht="26.25" customHeight="1" x14ac:dyDescent="0.4">
      <c r="A72" s="187"/>
      <c r="B72" s="187"/>
      <c r="C72" s="187"/>
      <c r="D72" s="187"/>
      <c r="E72" s="187"/>
      <c r="F72" s="167" t="s">
        <v>69</v>
      </c>
      <c r="G72" s="237">
        <f>AVERAGE(G60:G71)</f>
        <v>127.4363048592208</v>
      </c>
      <c r="H72" s="168">
        <f>AVERAGE(H60:H71)</f>
        <v>1.0194904388737662</v>
      </c>
    </row>
    <row r="73" spans="1:8" ht="26.25" customHeight="1" x14ac:dyDescent="0.4">
      <c r="C73" s="187"/>
      <c r="D73" s="187"/>
      <c r="E73" s="187"/>
      <c r="F73" s="169" t="s">
        <v>82</v>
      </c>
      <c r="G73" s="233">
        <f>STDEV(G60:G71)/G72</f>
        <v>1.4718904546671085E-2</v>
      </c>
      <c r="H73" s="233">
        <f>STDEV(H60:H71)/H72</f>
        <v>1.4718904546671055E-2</v>
      </c>
    </row>
    <row r="74" spans="1:8" ht="27" customHeight="1" thickBot="1" x14ac:dyDescent="0.45">
      <c r="A74" s="187"/>
      <c r="B74" s="187"/>
      <c r="C74" s="187"/>
      <c r="D74" s="187"/>
      <c r="E74" s="170"/>
      <c r="F74" s="171" t="s">
        <v>19</v>
      </c>
      <c r="G74" s="172">
        <f>COUNT(G60:G71)</f>
        <v>9</v>
      </c>
      <c r="H74" s="172">
        <f>COUNT(H60:H71)</f>
        <v>9</v>
      </c>
    </row>
    <row r="76" spans="1:8" ht="26.25" customHeight="1" x14ac:dyDescent="0.4">
      <c r="A76" s="221" t="s">
        <v>104</v>
      </c>
      <c r="B76" s="179" t="s">
        <v>105</v>
      </c>
      <c r="C76" s="306" t="str">
        <f>B20</f>
        <v>AMOXICILLIN 500MG</v>
      </c>
      <c r="D76" s="306"/>
      <c r="E76" s="173" t="s">
        <v>106</v>
      </c>
      <c r="F76" s="173"/>
      <c r="G76" s="174">
        <f>H72</f>
        <v>1.0194904388737662</v>
      </c>
      <c r="H76" s="240"/>
    </row>
    <row r="77" spans="1:8" ht="18.75" x14ac:dyDescent="0.3">
      <c r="A77" s="88" t="s">
        <v>107</v>
      </c>
      <c r="B77" s="88" t="s">
        <v>108</v>
      </c>
    </row>
    <row r="78" spans="1:8" ht="18.75" x14ac:dyDescent="0.3">
      <c r="A78" s="88"/>
      <c r="B78" s="88"/>
    </row>
    <row r="79" spans="1:8" ht="26.25" customHeight="1" x14ac:dyDescent="0.4">
      <c r="A79" s="221" t="s">
        <v>3</v>
      </c>
      <c r="B79" s="301">
        <f>B26</f>
        <v>0</v>
      </c>
      <c r="C79" s="301"/>
    </row>
    <row r="80" spans="1:8" ht="26.25" customHeight="1" x14ac:dyDescent="0.4">
      <c r="A80" s="179" t="s">
        <v>46</v>
      </c>
      <c r="B80" s="301">
        <f>B27</f>
        <v>0</v>
      </c>
      <c r="C80" s="301"/>
    </row>
    <row r="81" spans="1:12" ht="27" customHeight="1" thickBot="1" x14ac:dyDescent="0.45">
      <c r="A81" s="179" t="s">
        <v>5</v>
      </c>
      <c r="B81" s="175">
        <f>B28</f>
        <v>96.4</v>
      </c>
    </row>
    <row r="82" spans="1:12" s="8" customFormat="1" ht="27" customHeight="1" thickBot="1" x14ac:dyDescent="0.45">
      <c r="A82" s="179" t="s">
        <v>47</v>
      </c>
      <c r="B82" s="89">
        <v>0</v>
      </c>
      <c r="C82" s="283" t="s">
        <v>48</v>
      </c>
      <c r="D82" s="284"/>
      <c r="E82" s="284"/>
      <c r="F82" s="284"/>
      <c r="G82" s="285"/>
      <c r="I82" s="90"/>
      <c r="J82" s="90"/>
      <c r="K82" s="90"/>
      <c r="L82" s="90"/>
    </row>
    <row r="83" spans="1:12" s="8" customFormat="1" ht="19.5" customHeight="1" thickBot="1" x14ac:dyDescent="0.35">
      <c r="A83" s="179" t="s">
        <v>49</v>
      </c>
      <c r="B83" s="240">
        <f>B81-B82</f>
        <v>96.4</v>
      </c>
      <c r="C83" s="91"/>
      <c r="D83" s="91"/>
      <c r="E83" s="91"/>
      <c r="F83" s="91"/>
      <c r="G83" s="92"/>
      <c r="I83" s="90"/>
      <c r="J83" s="90"/>
      <c r="K83" s="90"/>
      <c r="L83" s="90"/>
    </row>
    <row r="84" spans="1:12" s="8" customFormat="1" ht="27" customHeight="1" thickBot="1" x14ac:dyDescent="0.45">
      <c r="A84" s="179" t="s">
        <v>50</v>
      </c>
      <c r="B84" s="93">
        <v>1</v>
      </c>
      <c r="C84" s="271" t="s">
        <v>109</v>
      </c>
      <c r="D84" s="272"/>
      <c r="E84" s="272"/>
      <c r="F84" s="272"/>
      <c r="G84" s="272"/>
      <c r="H84" s="273"/>
      <c r="I84" s="90"/>
      <c r="J84" s="90"/>
      <c r="K84" s="90"/>
      <c r="L84" s="90"/>
    </row>
    <row r="85" spans="1:12" s="8" customFormat="1" ht="27" customHeight="1" thickBot="1" x14ac:dyDescent="0.45">
      <c r="A85" s="179" t="s">
        <v>52</v>
      </c>
      <c r="B85" s="93">
        <v>1</v>
      </c>
      <c r="C85" s="271" t="s">
        <v>110</v>
      </c>
      <c r="D85" s="272"/>
      <c r="E85" s="272"/>
      <c r="F85" s="272"/>
      <c r="G85" s="272"/>
      <c r="H85" s="273"/>
      <c r="I85" s="90"/>
      <c r="J85" s="90"/>
      <c r="K85" s="90"/>
      <c r="L85" s="90"/>
    </row>
    <row r="86" spans="1:12" s="8" customFormat="1" ht="18.75" x14ac:dyDescent="0.3">
      <c r="A86" s="179"/>
      <c r="B86" s="96"/>
      <c r="C86" s="97"/>
      <c r="D86" s="97"/>
      <c r="E86" s="97"/>
      <c r="F86" s="97"/>
      <c r="G86" s="97"/>
      <c r="H86" s="97"/>
      <c r="I86" s="90"/>
      <c r="J86" s="90"/>
      <c r="K86" s="90"/>
      <c r="L86" s="90"/>
    </row>
    <row r="87" spans="1:12" s="8" customFormat="1" ht="18.75" x14ac:dyDescent="0.3">
      <c r="A87" s="179" t="s">
        <v>54</v>
      </c>
      <c r="B87" s="98">
        <f>B84/B85</f>
        <v>1</v>
      </c>
      <c r="C87" s="173" t="s">
        <v>55</v>
      </c>
      <c r="D87" s="173"/>
      <c r="E87" s="173"/>
      <c r="F87" s="173"/>
      <c r="G87" s="173"/>
      <c r="I87" s="90"/>
      <c r="J87" s="90"/>
      <c r="K87" s="90"/>
      <c r="L87" s="90"/>
    </row>
    <row r="88" spans="1:12" ht="19.5" customHeight="1" thickBot="1" x14ac:dyDescent="0.35">
      <c r="A88" s="88"/>
      <c r="B88" s="88"/>
    </row>
    <row r="89" spans="1:12" ht="27" customHeight="1" thickBot="1" x14ac:dyDescent="0.45">
      <c r="A89" s="99" t="s">
        <v>56</v>
      </c>
      <c r="B89" s="100">
        <v>10</v>
      </c>
      <c r="D89" s="242" t="s">
        <v>57</v>
      </c>
      <c r="E89" s="245"/>
      <c r="F89" s="286" t="s">
        <v>58</v>
      </c>
      <c r="G89" s="288"/>
    </row>
    <row r="90" spans="1:12" ht="27" customHeight="1" thickBot="1" x14ac:dyDescent="0.45">
      <c r="A90" s="101" t="s">
        <v>59</v>
      </c>
      <c r="B90" s="102">
        <v>3</v>
      </c>
      <c r="C90" s="241" t="s">
        <v>60</v>
      </c>
      <c r="D90" s="104" t="s">
        <v>61</v>
      </c>
      <c r="E90" s="105" t="s">
        <v>62</v>
      </c>
      <c r="F90" s="104" t="s">
        <v>61</v>
      </c>
      <c r="G90" s="176" t="s">
        <v>62</v>
      </c>
      <c r="I90" s="107" t="s">
        <v>63</v>
      </c>
    </row>
    <row r="91" spans="1:12" ht="26.25" customHeight="1" x14ac:dyDescent="0.4">
      <c r="A91" s="101" t="s">
        <v>64</v>
      </c>
      <c r="B91" s="102">
        <v>20</v>
      </c>
      <c r="C91" s="177">
        <v>1</v>
      </c>
      <c r="D91" s="109">
        <v>82328986</v>
      </c>
      <c r="E91" s="110">
        <f>IF(ISBLANK(D91),"-",$D$101/$D$98*D91)</f>
        <v>76923469.2031748</v>
      </c>
      <c r="F91" s="109">
        <v>99606490</v>
      </c>
      <c r="G91" s="111">
        <f>IF(ISBLANK(F91),"-",$D$101/$F$98*F91)</f>
        <v>77719284.562260449</v>
      </c>
      <c r="I91" s="112"/>
    </row>
    <row r="92" spans="1:12" ht="26.25" customHeight="1" x14ac:dyDescent="0.4">
      <c r="A92" s="101" t="s">
        <v>65</v>
      </c>
      <c r="B92" s="102">
        <v>1</v>
      </c>
      <c r="C92" s="187">
        <v>2</v>
      </c>
      <c r="D92" s="113">
        <v>82385629</v>
      </c>
      <c r="E92" s="114">
        <f>IF(ISBLANK(D92),"-",$D$101/$D$98*D92)</f>
        <v>76976393.164440095</v>
      </c>
      <c r="F92" s="113">
        <v>99551481</v>
      </c>
      <c r="G92" s="115">
        <f>IF(ISBLANK(F92),"-",$D$101/$F$98*F92)</f>
        <v>77676363.060614467</v>
      </c>
      <c r="I92" s="289">
        <f>ABS((F96/D96*D95)-F95)/D95</f>
        <v>1.0952369803823813E-2</v>
      </c>
    </row>
    <row r="93" spans="1:12" ht="26.25" customHeight="1" x14ac:dyDescent="0.4">
      <c r="A93" s="101" t="s">
        <v>66</v>
      </c>
      <c r="B93" s="102">
        <v>1</v>
      </c>
      <c r="C93" s="187">
        <v>3</v>
      </c>
      <c r="D93" s="113">
        <v>82329861</v>
      </c>
      <c r="E93" s="114">
        <f>IF(ISBLANK(D93),"-",$D$101/$D$98*D93)</f>
        <v>76924286.752847433</v>
      </c>
      <c r="F93" s="113">
        <v>99376302</v>
      </c>
      <c r="G93" s="115">
        <f>IF(ISBLANK(F93),"-",$D$101/$F$98*F93)</f>
        <v>77539677.323065311</v>
      </c>
      <c r="I93" s="289"/>
    </row>
    <row r="94" spans="1:12" ht="27" customHeight="1" thickBot="1" x14ac:dyDescent="0.45">
      <c r="A94" s="101" t="s">
        <v>67</v>
      </c>
      <c r="B94" s="102">
        <v>1</v>
      </c>
      <c r="C94" s="178">
        <v>4</v>
      </c>
      <c r="D94" s="117"/>
      <c r="E94" s="118" t="str">
        <f>IF(ISBLANK(D94),"-",$D$101/$D$98*D94)</f>
        <v>-</v>
      </c>
      <c r="F94" s="246"/>
      <c r="G94" s="119" t="str">
        <f>IF(ISBLANK(F94),"-",$D$101/$F$98*F94)</f>
        <v>-</v>
      </c>
      <c r="I94" s="120"/>
    </row>
    <row r="95" spans="1:12" ht="27" customHeight="1" thickBot="1" x14ac:dyDescent="0.45">
      <c r="A95" s="101" t="s">
        <v>68</v>
      </c>
      <c r="B95" s="102">
        <v>1</v>
      </c>
      <c r="C95" s="179" t="s">
        <v>69</v>
      </c>
      <c r="D95" s="180">
        <f>AVERAGE(D91:D94)</f>
        <v>82348158.666666672</v>
      </c>
      <c r="E95" s="123">
        <f>AVERAGE(E91:E94)</f>
        <v>76941383.040154114</v>
      </c>
      <c r="F95" s="181">
        <f>AVERAGE(F91:F94)</f>
        <v>99511424.333333328</v>
      </c>
      <c r="G95" s="182">
        <f>AVERAGE(G91:G94)</f>
        <v>77645108.315313414</v>
      </c>
    </row>
    <row r="96" spans="1:12" ht="26.25" customHeight="1" x14ac:dyDescent="0.4">
      <c r="A96" s="101" t="s">
        <v>70</v>
      </c>
      <c r="B96" s="175">
        <v>1</v>
      </c>
      <c r="C96" s="183" t="s">
        <v>111</v>
      </c>
      <c r="D96" s="184">
        <v>10.28</v>
      </c>
      <c r="E96" s="173"/>
      <c r="F96" s="127">
        <v>12.31</v>
      </c>
    </row>
    <row r="97" spans="1:10" ht="26.25" customHeight="1" x14ac:dyDescent="0.4">
      <c r="A97" s="101" t="s">
        <v>72</v>
      </c>
      <c r="B97" s="175">
        <v>1</v>
      </c>
      <c r="C97" s="185" t="s">
        <v>112</v>
      </c>
      <c r="D97" s="186">
        <f>D96*$B$87</f>
        <v>10.28</v>
      </c>
      <c r="E97" s="187"/>
      <c r="F97" s="129">
        <f>F96*$B$87</f>
        <v>12.31</v>
      </c>
    </row>
    <row r="98" spans="1:10" ht="19.5" customHeight="1" thickBot="1" x14ac:dyDescent="0.35">
      <c r="A98" s="101" t="s">
        <v>74</v>
      </c>
      <c r="B98" s="187">
        <f>(B97/B96)*(B95/B94)*(B93/B92)*(B91/B90)*B89</f>
        <v>66.666666666666671</v>
      </c>
      <c r="C98" s="185" t="s">
        <v>113</v>
      </c>
      <c r="D98" s="188">
        <f>D97*$B$83/100</f>
        <v>9.9099199999999996</v>
      </c>
      <c r="E98" s="170"/>
      <c r="F98" s="131">
        <f>F97*$B$83/100</f>
        <v>11.866840000000002</v>
      </c>
    </row>
    <row r="99" spans="1:10" ht="19.5" customHeight="1" thickBot="1" x14ac:dyDescent="0.35">
      <c r="A99" s="290" t="s">
        <v>76</v>
      </c>
      <c r="B99" s="307"/>
      <c r="C99" s="185" t="s">
        <v>114</v>
      </c>
      <c r="D99" s="189">
        <f>D98/$B$98</f>
        <v>0.14864879999999997</v>
      </c>
      <c r="E99" s="170"/>
      <c r="F99" s="134">
        <f>F98/$B$98</f>
        <v>0.17800260000000001</v>
      </c>
      <c r="H99" s="125"/>
    </row>
    <row r="100" spans="1:10" ht="19.5" customHeight="1" thickBot="1" x14ac:dyDescent="0.35">
      <c r="A100" s="292"/>
      <c r="B100" s="308"/>
      <c r="C100" s="185" t="s">
        <v>78</v>
      </c>
      <c r="D100" s="191">
        <f>$B$56/$B$116</f>
        <v>0.1388888888888889</v>
      </c>
      <c r="F100" s="139"/>
      <c r="G100" s="197"/>
      <c r="H100" s="125"/>
    </row>
    <row r="101" spans="1:10" ht="18.75" x14ac:dyDescent="0.3">
      <c r="C101" s="185" t="s">
        <v>79</v>
      </c>
      <c r="D101" s="186">
        <f>D100*$B$98</f>
        <v>9.2592592592592595</v>
      </c>
      <c r="F101" s="139"/>
      <c r="H101" s="125"/>
    </row>
    <row r="102" spans="1:10" ht="19.5" customHeight="1" thickBot="1" x14ac:dyDescent="0.35">
      <c r="C102" s="192" t="s">
        <v>80</v>
      </c>
      <c r="D102" s="193">
        <f>D101/B34</f>
        <v>9.2592592592592595</v>
      </c>
      <c r="F102" s="143"/>
      <c r="H102" s="125"/>
      <c r="J102" s="194"/>
    </row>
    <row r="103" spans="1:10" ht="18.75" x14ac:dyDescent="0.3">
      <c r="C103" s="195" t="s">
        <v>115</v>
      </c>
      <c r="D103" s="196">
        <f>AVERAGE(E91:E94,G91:G94)</f>
        <v>77293245.677733764</v>
      </c>
      <c r="F103" s="143"/>
      <c r="G103" s="197"/>
      <c r="H103" s="125"/>
      <c r="J103" s="198"/>
    </row>
    <row r="104" spans="1:10" ht="18.75" x14ac:dyDescent="0.3">
      <c r="C104" s="169" t="s">
        <v>82</v>
      </c>
      <c r="D104" s="199">
        <f>STDEV(E91:E94,G91:G94)/D103</f>
        <v>5.0516120743624906E-3</v>
      </c>
      <c r="F104" s="143"/>
      <c r="H104" s="125"/>
      <c r="J104" s="198"/>
    </row>
    <row r="105" spans="1:10" ht="19.5" customHeight="1" thickBot="1" x14ac:dyDescent="0.35">
      <c r="C105" s="171" t="s">
        <v>19</v>
      </c>
      <c r="D105" s="200">
        <f>COUNT(E91:E94,G91:G94)</f>
        <v>6</v>
      </c>
      <c r="F105" s="143"/>
      <c r="H105" s="125"/>
      <c r="J105" s="198"/>
    </row>
    <row r="106" spans="1:10" ht="19.5" customHeight="1" thickBot="1" x14ac:dyDescent="0.35">
      <c r="A106" s="147"/>
      <c r="B106" s="147"/>
      <c r="C106" s="147"/>
      <c r="D106" s="147"/>
      <c r="E106" s="147"/>
    </row>
    <row r="107" spans="1:10" ht="26.25" customHeight="1" x14ac:dyDescent="0.4">
      <c r="A107" s="99" t="s">
        <v>116</v>
      </c>
      <c r="B107" s="100">
        <v>900</v>
      </c>
      <c r="C107" s="242" t="s">
        <v>117</v>
      </c>
      <c r="D107" s="201" t="s">
        <v>61</v>
      </c>
      <c r="E107" s="202" t="s">
        <v>118</v>
      </c>
      <c r="F107" s="203" t="s">
        <v>119</v>
      </c>
    </row>
    <row r="108" spans="1:10" ht="26.25" customHeight="1" x14ac:dyDescent="0.4">
      <c r="A108" s="101" t="s">
        <v>120</v>
      </c>
      <c r="B108" s="102">
        <v>1</v>
      </c>
      <c r="C108" s="204">
        <v>1</v>
      </c>
      <c r="D108" s="205">
        <v>75193329</v>
      </c>
      <c r="E108" s="234">
        <f t="shared" ref="E108:E113" si="2">IF(ISBLANK(D108),"-",D108/$D$103*$D$100*$B$116)</f>
        <v>121.60397771609769</v>
      </c>
      <c r="F108" s="206">
        <f t="shared" ref="F108:F113" si="3">IF(ISBLANK(D108), "-", E108/$B$56)</f>
        <v>0.97283182172878147</v>
      </c>
    </row>
    <row r="109" spans="1:10" ht="26.25" customHeight="1" x14ac:dyDescent="0.4">
      <c r="A109" s="101" t="s">
        <v>93</v>
      </c>
      <c r="B109" s="102">
        <v>1</v>
      </c>
      <c r="C109" s="204">
        <v>2</v>
      </c>
      <c r="D109" s="205">
        <v>78699063</v>
      </c>
      <c r="E109" s="235">
        <f t="shared" si="2"/>
        <v>127.27351256558633</v>
      </c>
      <c r="F109" s="207">
        <f t="shared" si="3"/>
        <v>1.0181881005246907</v>
      </c>
    </row>
    <row r="110" spans="1:10" ht="26.25" customHeight="1" x14ac:dyDescent="0.4">
      <c r="A110" s="101" t="s">
        <v>94</v>
      </c>
      <c r="B110" s="102">
        <v>1</v>
      </c>
      <c r="C110" s="204">
        <v>3</v>
      </c>
      <c r="D110" s="205">
        <v>75438939</v>
      </c>
      <c r="E110" s="235">
        <f t="shared" si="2"/>
        <v>122.00118253950498</v>
      </c>
      <c r="F110" s="207">
        <f t="shared" si="3"/>
        <v>0.97600946031603986</v>
      </c>
    </row>
    <row r="111" spans="1:10" ht="26.25" customHeight="1" x14ac:dyDescent="0.4">
      <c r="A111" s="101" t="s">
        <v>95</v>
      </c>
      <c r="B111" s="102">
        <v>1</v>
      </c>
      <c r="C111" s="204">
        <v>4</v>
      </c>
      <c r="D111" s="205">
        <v>64696134</v>
      </c>
      <c r="E111" s="235">
        <f t="shared" si="2"/>
        <v>104.62772884086125</v>
      </c>
      <c r="F111" s="207">
        <f t="shared" si="3"/>
        <v>0.83702183072689007</v>
      </c>
    </row>
    <row r="112" spans="1:10" ht="26.25" customHeight="1" x14ac:dyDescent="0.4">
      <c r="A112" s="101" t="s">
        <v>96</v>
      </c>
      <c r="B112" s="102">
        <v>1</v>
      </c>
      <c r="C112" s="204">
        <v>5</v>
      </c>
      <c r="D112" s="205">
        <v>69099002</v>
      </c>
      <c r="E112" s="235">
        <f t="shared" si="2"/>
        <v>111.74812461638172</v>
      </c>
      <c r="F112" s="207">
        <f t="shared" si="3"/>
        <v>0.89398499693105371</v>
      </c>
    </row>
    <row r="113" spans="1:10" ht="26.25" customHeight="1" x14ac:dyDescent="0.4">
      <c r="A113" s="101" t="s">
        <v>98</v>
      </c>
      <c r="B113" s="102">
        <v>1</v>
      </c>
      <c r="C113" s="208">
        <v>6</v>
      </c>
      <c r="D113" s="209">
        <v>77126557</v>
      </c>
      <c r="E113" s="236">
        <f t="shared" si="2"/>
        <v>124.73042813076327</v>
      </c>
      <c r="F113" s="210">
        <f t="shared" si="3"/>
        <v>0.99784342504610613</v>
      </c>
    </row>
    <row r="114" spans="1:10" ht="26.25" customHeight="1" x14ac:dyDescent="0.4">
      <c r="A114" s="101" t="s">
        <v>99</v>
      </c>
      <c r="B114" s="102">
        <v>1</v>
      </c>
      <c r="C114" s="204"/>
      <c r="D114" s="187"/>
      <c r="E114" s="173"/>
      <c r="F114" s="211"/>
    </row>
    <row r="115" spans="1:10" ht="26.25" customHeight="1" x14ac:dyDescent="0.4">
      <c r="A115" s="101" t="s">
        <v>100</v>
      </c>
      <c r="B115" s="102">
        <v>1</v>
      </c>
      <c r="C115" s="204"/>
      <c r="D115" s="212" t="s">
        <v>69</v>
      </c>
      <c r="E115" s="238">
        <f>AVERAGE(E108:E113)</f>
        <v>118.6641590681992</v>
      </c>
      <c r="F115" s="213">
        <f>AVERAGE(F108:F113)</f>
        <v>0.94931327254559372</v>
      </c>
    </row>
    <row r="116" spans="1:10" ht="27" customHeight="1" thickBot="1" x14ac:dyDescent="0.45">
      <c r="A116" s="101" t="s">
        <v>101</v>
      </c>
      <c r="B116" s="130">
        <f>(B115/B114)*(B113/B112)*(B111/B110)*(B109/B108)*B107</f>
        <v>900</v>
      </c>
      <c r="C116" s="214"/>
      <c r="D116" s="179" t="s">
        <v>82</v>
      </c>
      <c r="E116" s="215">
        <f>STDEV(E108:E113)/E115</f>
        <v>7.3034881495283019E-2</v>
      </c>
      <c r="F116" s="215">
        <f>STDEV(F108:F113)/F115</f>
        <v>7.3034881495282977E-2</v>
      </c>
      <c r="I116" s="173"/>
    </row>
    <row r="117" spans="1:10" ht="27" customHeight="1" thickBot="1" x14ac:dyDescent="0.45">
      <c r="A117" s="290" t="s">
        <v>76</v>
      </c>
      <c r="B117" s="291"/>
      <c r="C117" s="216"/>
      <c r="D117" s="217" t="s">
        <v>19</v>
      </c>
      <c r="E117" s="218">
        <f>COUNT(E108:E113)</f>
        <v>6</v>
      </c>
      <c r="F117" s="218">
        <f>COUNT(F108:F113)</f>
        <v>6</v>
      </c>
      <c r="I117" s="173"/>
      <c r="J117" s="198"/>
    </row>
    <row r="118" spans="1:10" ht="19.5" customHeight="1" thickBot="1" x14ac:dyDescent="0.35">
      <c r="A118" s="292"/>
      <c r="B118" s="293"/>
      <c r="C118" s="173"/>
      <c r="D118" s="173"/>
      <c r="E118" s="173"/>
      <c r="F118" s="187"/>
      <c r="G118" s="173"/>
      <c r="H118" s="173"/>
      <c r="I118" s="173"/>
    </row>
    <row r="119" spans="1:10" ht="18.75" x14ac:dyDescent="0.3">
      <c r="A119" s="225"/>
      <c r="B119" s="97"/>
      <c r="C119" s="173"/>
      <c r="D119" s="173"/>
      <c r="E119" s="173"/>
      <c r="F119" s="187"/>
      <c r="G119" s="173"/>
      <c r="H119" s="173"/>
      <c r="I119" s="173"/>
    </row>
    <row r="120" spans="1:10" ht="26.25" customHeight="1" x14ac:dyDescent="0.4">
      <c r="A120" s="221" t="s">
        <v>104</v>
      </c>
      <c r="B120" s="179" t="s">
        <v>121</v>
      </c>
      <c r="C120" s="306" t="str">
        <f>B20</f>
        <v>AMOXICILLIN 500MG</v>
      </c>
      <c r="D120" s="306"/>
      <c r="E120" s="173" t="s">
        <v>122</v>
      </c>
      <c r="F120" s="173"/>
      <c r="G120" s="174">
        <f>F115</f>
        <v>0.94931327254559372</v>
      </c>
      <c r="H120" s="173"/>
      <c r="I120" s="173"/>
    </row>
    <row r="121" spans="1:10" ht="19.5" customHeight="1" thickBot="1" x14ac:dyDescent="0.35">
      <c r="A121" s="243"/>
      <c r="B121" s="243"/>
      <c r="C121" s="219"/>
      <c r="D121" s="219"/>
      <c r="E121" s="219"/>
      <c r="F121" s="219"/>
      <c r="G121" s="219"/>
      <c r="H121" s="219"/>
    </row>
    <row r="122" spans="1:10" ht="18.75" x14ac:dyDescent="0.3">
      <c r="B122" s="309" t="s">
        <v>24</v>
      </c>
      <c r="C122" s="309"/>
      <c r="E122" s="241" t="s">
        <v>25</v>
      </c>
      <c r="F122" s="220"/>
      <c r="G122" s="309" t="s">
        <v>26</v>
      </c>
      <c r="H122" s="309"/>
    </row>
    <row r="123" spans="1:10" ht="69.95" customHeight="1" x14ac:dyDescent="0.3">
      <c r="A123" s="221" t="s">
        <v>27</v>
      </c>
      <c r="B123" s="222"/>
      <c r="C123" s="222"/>
      <c r="E123" s="222"/>
      <c r="F123" s="173"/>
      <c r="G123" s="222"/>
      <c r="H123" s="222"/>
    </row>
    <row r="124" spans="1:10" ht="69.95" customHeight="1" x14ac:dyDescent="0.3">
      <c r="A124" s="221" t="s">
        <v>28</v>
      </c>
      <c r="B124" s="223"/>
      <c r="C124" s="223"/>
      <c r="E124" s="223"/>
      <c r="F124" s="173"/>
      <c r="G124" s="224"/>
      <c r="H124" s="224"/>
    </row>
    <row r="125" spans="1:10" ht="18.75" x14ac:dyDescent="0.3">
      <c r="A125" s="187"/>
      <c r="B125" s="187"/>
      <c r="C125" s="187"/>
      <c r="D125" s="187"/>
      <c r="E125" s="187"/>
      <c r="F125" s="170"/>
      <c r="G125" s="187"/>
      <c r="H125" s="187"/>
      <c r="I125" s="173"/>
    </row>
    <row r="126" spans="1:10" ht="18.75" x14ac:dyDescent="0.3">
      <c r="A126" s="187"/>
      <c r="B126" s="187"/>
      <c r="C126" s="187"/>
      <c r="D126" s="187"/>
      <c r="E126" s="187"/>
      <c r="F126" s="170"/>
      <c r="G126" s="187"/>
      <c r="H126" s="187"/>
      <c r="I126" s="173"/>
    </row>
    <row r="127" spans="1:10" ht="18.75" x14ac:dyDescent="0.3">
      <c r="A127" s="187"/>
      <c r="B127" s="187"/>
      <c r="C127" s="187"/>
      <c r="D127" s="187"/>
      <c r="E127" s="187"/>
      <c r="F127" s="170"/>
      <c r="G127" s="187"/>
      <c r="H127" s="187"/>
      <c r="I127" s="173"/>
    </row>
    <row r="128" spans="1:10" ht="18.75" x14ac:dyDescent="0.3">
      <c r="A128" s="187"/>
      <c r="B128" s="187"/>
      <c r="C128" s="187"/>
      <c r="D128" s="187"/>
      <c r="E128" s="187"/>
      <c r="F128" s="170"/>
      <c r="G128" s="187"/>
      <c r="H128" s="187"/>
      <c r="I128" s="173"/>
    </row>
    <row r="129" spans="1:9" ht="18.75" x14ac:dyDescent="0.3">
      <c r="A129" s="187"/>
      <c r="B129" s="187"/>
      <c r="C129" s="187"/>
      <c r="D129" s="187"/>
      <c r="E129" s="187"/>
      <c r="F129" s="170"/>
      <c r="G129" s="187"/>
      <c r="H129" s="187"/>
      <c r="I129" s="173"/>
    </row>
    <row r="130" spans="1:9" ht="18.75" x14ac:dyDescent="0.3">
      <c r="A130" s="187"/>
      <c r="B130" s="187"/>
      <c r="C130" s="187"/>
      <c r="D130" s="187"/>
      <c r="E130" s="187"/>
      <c r="F130" s="170"/>
      <c r="G130" s="187"/>
      <c r="H130" s="187"/>
      <c r="I130" s="173"/>
    </row>
    <row r="131" spans="1:9" ht="18.75" x14ac:dyDescent="0.3">
      <c r="A131" s="187"/>
      <c r="B131" s="187"/>
      <c r="C131" s="187"/>
      <c r="D131" s="187"/>
      <c r="E131" s="187"/>
      <c r="F131" s="170"/>
      <c r="G131" s="187"/>
      <c r="H131" s="187"/>
      <c r="I131" s="173"/>
    </row>
    <row r="132" spans="1:9" ht="18.75" x14ac:dyDescent="0.3">
      <c r="A132" s="187"/>
      <c r="B132" s="187"/>
      <c r="C132" s="187"/>
      <c r="D132" s="187"/>
      <c r="E132" s="187"/>
      <c r="F132" s="170"/>
      <c r="G132" s="187"/>
      <c r="H132" s="187"/>
      <c r="I132" s="173"/>
    </row>
    <row r="133" spans="1:9" ht="18.75" x14ac:dyDescent="0.3">
      <c r="A133" s="187"/>
      <c r="B133" s="187"/>
      <c r="C133" s="187"/>
      <c r="D133" s="187"/>
      <c r="E133" s="187"/>
      <c r="F133" s="170"/>
      <c r="G133" s="187"/>
      <c r="H133" s="187"/>
      <c r="I133" s="173"/>
    </row>
    <row r="250" spans="1:1" x14ac:dyDescent="0.25">
      <c r="A250" s="19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G114" sqref="G114:H117"/>
    </sheetView>
  </sheetViews>
  <sheetFormatPr defaultColWidth="9.140625" defaultRowHeight="13.5" x14ac:dyDescent="0.25"/>
  <cols>
    <col min="1" max="1" width="55.42578125" style="190" customWidth="1"/>
    <col min="2" max="2" width="33.7109375" style="190" customWidth="1"/>
    <col min="3" max="3" width="42.28515625" style="190" customWidth="1"/>
    <col min="4" max="4" width="30.5703125" style="190" customWidth="1"/>
    <col min="5" max="5" width="39.85546875" style="190" customWidth="1"/>
    <col min="6" max="6" width="30.7109375" style="190" customWidth="1"/>
    <col min="7" max="7" width="39.85546875" style="190" customWidth="1"/>
    <col min="8" max="8" width="30" style="190" customWidth="1"/>
    <col min="9" max="9" width="30.28515625" style="190" hidden="1" customWidth="1"/>
    <col min="10" max="10" width="30.42578125" style="190" customWidth="1"/>
    <col min="11" max="11" width="21.28515625" style="190" customWidth="1"/>
    <col min="12" max="12" width="9.140625" style="190"/>
    <col min="13" max="16384" width="9.140625" style="31"/>
  </cols>
  <sheetData>
    <row r="1" spans="1:9" ht="18.75" customHeight="1" x14ac:dyDescent="0.25">
      <c r="A1" s="274" t="s">
        <v>43</v>
      </c>
      <c r="B1" s="274"/>
      <c r="C1" s="274"/>
      <c r="D1" s="274"/>
      <c r="E1" s="274"/>
      <c r="F1" s="274"/>
      <c r="G1" s="274"/>
      <c r="H1" s="274"/>
      <c r="I1" s="274"/>
    </row>
    <row r="2" spans="1:9" ht="18.75" customHeight="1" x14ac:dyDescent="0.25">
      <c r="A2" s="274"/>
      <c r="B2" s="274"/>
      <c r="C2" s="274"/>
      <c r="D2" s="274"/>
      <c r="E2" s="274"/>
      <c r="F2" s="274"/>
      <c r="G2" s="274"/>
      <c r="H2" s="274"/>
      <c r="I2" s="274"/>
    </row>
    <row r="3" spans="1:9" ht="18.75" customHeight="1" x14ac:dyDescent="0.25">
      <c r="A3" s="274"/>
      <c r="B3" s="274"/>
      <c r="C3" s="274"/>
      <c r="D3" s="274"/>
      <c r="E3" s="274"/>
      <c r="F3" s="274"/>
      <c r="G3" s="274"/>
      <c r="H3" s="274"/>
      <c r="I3" s="274"/>
    </row>
    <row r="4" spans="1:9" ht="18.75" customHeight="1" x14ac:dyDescent="0.25">
      <c r="A4" s="274"/>
      <c r="B4" s="274"/>
      <c r="C4" s="274"/>
      <c r="D4" s="274"/>
      <c r="E4" s="274"/>
      <c r="F4" s="274"/>
      <c r="G4" s="274"/>
      <c r="H4" s="274"/>
      <c r="I4" s="274"/>
    </row>
    <row r="5" spans="1:9" ht="18.75" customHeight="1" x14ac:dyDescent="0.25">
      <c r="A5" s="274"/>
      <c r="B5" s="274"/>
      <c r="C5" s="274"/>
      <c r="D5" s="274"/>
      <c r="E5" s="274"/>
      <c r="F5" s="274"/>
      <c r="G5" s="274"/>
      <c r="H5" s="274"/>
      <c r="I5" s="274"/>
    </row>
    <row r="6" spans="1:9" ht="18.75" customHeight="1" x14ac:dyDescent="0.25">
      <c r="A6" s="274"/>
      <c r="B6" s="274"/>
      <c r="C6" s="274"/>
      <c r="D6" s="274"/>
      <c r="E6" s="274"/>
      <c r="F6" s="274"/>
      <c r="G6" s="274"/>
      <c r="H6" s="274"/>
      <c r="I6" s="274"/>
    </row>
    <row r="7" spans="1:9" ht="18.75" customHeight="1" x14ac:dyDescent="0.25">
      <c r="A7" s="274"/>
      <c r="B7" s="274"/>
      <c r="C7" s="274"/>
      <c r="D7" s="274"/>
      <c r="E7" s="274"/>
      <c r="F7" s="274"/>
      <c r="G7" s="274"/>
      <c r="H7" s="274"/>
      <c r="I7" s="274"/>
    </row>
    <row r="8" spans="1:9" x14ac:dyDescent="0.25">
      <c r="A8" s="275" t="s">
        <v>44</v>
      </c>
      <c r="B8" s="275"/>
      <c r="C8" s="275"/>
      <c r="D8" s="275"/>
      <c r="E8" s="275"/>
      <c r="F8" s="275"/>
      <c r="G8" s="275"/>
      <c r="H8" s="275"/>
      <c r="I8" s="275"/>
    </row>
    <row r="9" spans="1:9" x14ac:dyDescent="0.25">
      <c r="A9" s="275"/>
      <c r="B9" s="275"/>
      <c r="C9" s="275"/>
      <c r="D9" s="275"/>
      <c r="E9" s="275"/>
      <c r="F9" s="275"/>
      <c r="G9" s="275"/>
      <c r="H9" s="275"/>
      <c r="I9" s="275"/>
    </row>
    <row r="10" spans="1:9" x14ac:dyDescent="0.25">
      <c r="A10" s="275"/>
      <c r="B10" s="275"/>
      <c r="C10" s="275"/>
      <c r="D10" s="275"/>
      <c r="E10" s="275"/>
      <c r="F10" s="275"/>
      <c r="G10" s="275"/>
      <c r="H10" s="275"/>
      <c r="I10" s="275"/>
    </row>
    <row r="11" spans="1:9" x14ac:dyDescent="0.25">
      <c r="A11" s="275"/>
      <c r="B11" s="275"/>
      <c r="C11" s="275"/>
      <c r="D11" s="275"/>
      <c r="E11" s="275"/>
      <c r="F11" s="275"/>
      <c r="G11" s="275"/>
      <c r="H11" s="275"/>
      <c r="I11" s="275"/>
    </row>
    <row r="12" spans="1:9" x14ac:dyDescent="0.25">
      <c r="A12" s="275"/>
      <c r="B12" s="275"/>
      <c r="C12" s="275"/>
      <c r="D12" s="275"/>
      <c r="E12" s="275"/>
      <c r="F12" s="275"/>
      <c r="G12" s="275"/>
      <c r="H12" s="275"/>
      <c r="I12" s="275"/>
    </row>
    <row r="13" spans="1:9" x14ac:dyDescent="0.25">
      <c r="A13" s="275"/>
      <c r="B13" s="275"/>
      <c r="C13" s="275"/>
      <c r="D13" s="275"/>
      <c r="E13" s="275"/>
      <c r="F13" s="275"/>
      <c r="G13" s="275"/>
      <c r="H13" s="275"/>
      <c r="I13" s="275"/>
    </row>
    <row r="14" spans="1:9" x14ac:dyDescent="0.25">
      <c r="A14" s="275"/>
      <c r="B14" s="275"/>
      <c r="C14" s="275"/>
      <c r="D14" s="275"/>
      <c r="E14" s="275"/>
      <c r="F14" s="275"/>
      <c r="G14" s="275"/>
      <c r="H14" s="275"/>
      <c r="I14" s="275"/>
    </row>
    <row r="15" spans="1:9" ht="19.5" customHeight="1" thickBot="1" x14ac:dyDescent="0.35">
      <c r="A15" s="173"/>
    </row>
    <row r="16" spans="1:9" ht="19.5" customHeight="1" thickBot="1" x14ac:dyDescent="0.35">
      <c r="A16" s="276" t="s">
        <v>29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45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83" t="s">
        <v>31</v>
      </c>
      <c r="B18" s="280" t="s">
        <v>4</v>
      </c>
      <c r="C18" s="280"/>
      <c r="D18" s="226"/>
      <c r="E18" s="84"/>
      <c r="F18" s="239"/>
      <c r="G18" s="239"/>
      <c r="H18" s="239"/>
    </row>
    <row r="19" spans="1:14" ht="26.25" customHeight="1" x14ac:dyDescent="0.4">
      <c r="A19" s="83" t="s">
        <v>32</v>
      </c>
      <c r="B19" s="248" t="s">
        <v>6</v>
      </c>
      <c r="C19" s="239">
        <v>29</v>
      </c>
      <c r="D19" s="239"/>
      <c r="E19" s="239"/>
      <c r="F19" s="239"/>
      <c r="G19" s="239"/>
      <c r="H19" s="239"/>
    </row>
    <row r="20" spans="1:14" ht="26.25" customHeight="1" x14ac:dyDescent="0.4">
      <c r="A20" s="83" t="s">
        <v>33</v>
      </c>
      <c r="B20" s="281" t="s">
        <v>8</v>
      </c>
      <c r="C20" s="281"/>
      <c r="D20" s="239"/>
      <c r="E20" s="239"/>
      <c r="F20" s="239"/>
      <c r="G20" s="239"/>
      <c r="H20" s="239"/>
    </row>
    <row r="21" spans="1:14" ht="26.25" customHeight="1" x14ac:dyDescent="0.4">
      <c r="A21" s="83" t="s">
        <v>34</v>
      </c>
      <c r="B21" s="281" t="s">
        <v>10</v>
      </c>
      <c r="C21" s="281"/>
      <c r="D21" s="281"/>
      <c r="E21" s="281"/>
      <c r="F21" s="281"/>
      <c r="G21" s="281"/>
      <c r="H21" s="281"/>
      <c r="I21" s="85"/>
    </row>
    <row r="22" spans="1:14" ht="26.25" customHeight="1" x14ac:dyDescent="0.4">
      <c r="A22" s="83" t="s">
        <v>35</v>
      </c>
      <c r="B22" s="86" t="s">
        <v>11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83" t="s">
        <v>36</v>
      </c>
      <c r="B23" s="86"/>
      <c r="C23" s="239"/>
      <c r="D23" s="239"/>
      <c r="E23" s="239"/>
      <c r="F23" s="239"/>
      <c r="G23" s="239"/>
      <c r="H23" s="239"/>
    </row>
    <row r="24" spans="1:14" ht="18.75" x14ac:dyDescent="0.3">
      <c r="A24" s="83"/>
      <c r="B24" s="87"/>
    </row>
    <row r="25" spans="1:14" ht="18.75" x14ac:dyDescent="0.3">
      <c r="A25" s="88" t="s">
        <v>1</v>
      </c>
      <c r="B25" s="87"/>
    </row>
    <row r="26" spans="1:14" ht="26.25" customHeight="1" x14ac:dyDescent="0.4">
      <c r="A26" s="221" t="s">
        <v>3</v>
      </c>
      <c r="B26" s="280" t="s">
        <v>123</v>
      </c>
      <c r="C26" s="280"/>
    </row>
    <row r="27" spans="1:14" ht="26.25" customHeight="1" x14ac:dyDescent="0.4">
      <c r="A27" s="179" t="s">
        <v>46</v>
      </c>
      <c r="B27" s="282"/>
      <c r="C27" s="282"/>
    </row>
    <row r="28" spans="1:14" ht="27" customHeight="1" thickBot="1" x14ac:dyDescent="0.45">
      <c r="A28" s="179" t="s">
        <v>5</v>
      </c>
      <c r="B28" s="175">
        <v>86.6</v>
      </c>
    </row>
    <row r="29" spans="1:14" s="8" customFormat="1" ht="27" customHeight="1" thickBot="1" x14ac:dyDescent="0.45">
      <c r="A29" s="179" t="s">
        <v>47</v>
      </c>
      <c r="B29" s="89"/>
      <c r="C29" s="283" t="s">
        <v>48</v>
      </c>
      <c r="D29" s="284"/>
      <c r="E29" s="284"/>
      <c r="F29" s="284"/>
      <c r="G29" s="285"/>
      <c r="I29" s="90"/>
      <c r="J29" s="90"/>
      <c r="K29" s="90"/>
      <c r="L29" s="90"/>
    </row>
    <row r="30" spans="1:14" s="8" customFormat="1" ht="19.5" customHeight="1" thickBot="1" x14ac:dyDescent="0.35">
      <c r="A30" s="179" t="s">
        <v>49</v>
      </c>
      <c r="B30" s="251">
        <f>B28-B29</f>
        <v>86.6</v>
      </c>
      <c r="C30" s="91"/>
      <c r="D30" s="91"/>
      <c r="E30" s="91"/>
      <c r="F30" s="91"/>
      <c r="G30" s="92"/>
      <c r="I30" s="90"/>
      <c r="J30" s="90"/>
      <c r="K30" s="90"/>
      <c r="L30" s="90"/>
    </row>
    <row r="31" spans="1:14" s="8" customFormat="1" ht="27" customHeight="1" thickBot="1" x14ac:dyDescent="0.45">
      <c r="A31" s="179" t="s">
        <v>50</v>
      </c>
      <c r="B31" s="93">
        <v>1</v>
      </c>
      <c r="C31" s="271" t="s">
        <v>51</v>
      </c>
      <c r="D31" s="272"/>
      <c r="E31" s="272"/>
      <c r="F31" s="272"/>
      <c r="G31" s="272"/>
      <c r="H31" s="273"/>
      <c r="I31" s="90"/>
      <c r="J31" s="90"/>
      <c r="K31" s="90"/>
      <c r="L31" s="90"/>
    </row>
    <row r="32" spans="1:14" s="8" customFormat="1" ht="27" customHeight="1" thickBot="1" x14ac:dyDescent="0.45">
      <c r="A32" s="179" t="s">
        <v>52</v>
      </c>
      <c r="B32" s="93">
        <v>1</v>
      </c>
      <c r="C32" s="271" t="s">
        <v>53</v>
      </c>
      <c r="D32" s="272"/>
      <c r="E32" s="272"/>
      <c r="F32" s="272"/>
      <c r="G32" s="272"/>
      <c r="H32" s="273"/>
      <c r="I32" s="90"/>
      <c r="J32" s="90"/>
      <c r="K32" s="90"/>
      <c r="L32" s="94"/>
      <c r="M32" s="94"/>
      <c r="N32" s="95"/>
    </row>
    <row r="33" spans="1:14" s="8" customFormat="1" ht="17.25" customHeight="1" x14ac:dyDescent="0.3">
      <c r="A33" s="179"/>
      <c r="B33" s="96"/>
      <c r="C33" s="97"/>
      <c r="D33" s="97"/>
      <c r="E33" s="97"/>
      <c r="F33" s="97"/>
      <c r="G33" s="97"/>
      <c r="H33" s="97"/>
      <c r="I33" s="90"/>
      <c r="J33" s="90"/>
      <c r="K33" s="90"/>
      <c r="L33" s="94"/>
      <c r="M33" s="94"/>
      <c r="N33" s="95"/>
    </row>
    <row r="34" spans="1:14" s="8" customFormat="1" ht="18.75" x14ac:dyDescent="0.3">
      <c r="A34" s="179" t="s">
        <v>54</v>
      </c>
      <c r="B34" s="98">
        <f>B31/B32</f>
        <v>1</v>
      </c>
      <c r="C34" s="173" t="s">
        <v>55</v>
      </c>
      <c r="D34" s="173"/>
      <c r="E34" s="173"/>
      <c r="F34" s="173"/>
      <c r="G34" s="173"/>
      <c r="I34" s="90"/>
      <c r="J34" s="90"/>
      <c r="K34" s="90"/>
      <c r="L34" s="94"/>
      <c r="M34" s="94"/>
      <c r="N34" s="95"/>
    </row>
    <row r="35" spans="1:14" s="8" customFormat="1" ht="19.5" customHeight="1" thickBot="1" x14ac:dyDescent="0.35">
      <c r="A35" s="179"/>
      <c r="B35" s="251"/>
      <c r="G35" s="173"/>
      <c r="I35" s="90"/>
      <c r="J35" s="90"/>
      <c r="K35" s="90"/>
      <c r="L35" s="94"/>
      <c r="M35" s="94"/>
      <c r="N35" s="95"/>
    </row>
    <row r="36" spans="1:14" s="8" customFormat="1" ht="27" customHeight="1" thickBot="1" x14ac:dyDescent="0.45">
      <c r="A36" s="99" t="s">
        <v>56</v>
      </c>
      <c r="B36" s="100">
        <v>20</v>
      </c>
      <c r="C36" s="173"/>
      <c r="D36" s="286" t="s">
        <v>57</v>
      </c>
      <c r="E36" s="287"/>
      <c r="F36" s="286" t="s">
        <v>58</v>
      </c>
      <c r="G36" s="288"/>
      <c r="J36" s="90"/>
      <c r="K36" s="90"/>
      <c r="L36" s="94"/>
      <c r="M36" s="94"/>
      <c r="N36" s="95"/>
    </row>
    <row r="37" spans="1:14" s="8" customFormat="1" ht="27" customHeight="1" thickBot="1" x14ac:dyDescent="0.45">
      <c r="A37" s="101" t="s">
        <v>59</v>
      </c>
      <c r="B37" s="102">
        <v>10</v>
      </c>
      <c r="C37" s="103" t="s">
        <v>60</v>
      </c>
      <c r="D37" s="104" t="s">
        <v>61</v>
      </c>
      <c r="E37" s="105" t="s">
        <v>62</v>
      </c>
      <c r="F37" s="104" t="s">
        <v>61</v>
      </c>
      <c r="G37" s="106" t="s">
        <v>62</v>
      </c>
      <c r="I37" s="107" t="s">
        <v>63</v>
      </c>
      <c r="J37" s="90"/>
      <c r="K37" s="90"/>
      <c r="L37" s="94"/>
      <c r="M37" s="94"/>
      <c r="N37" s="95"/>
    </row>
    <row r="38" spans="1:14" s="8" customFormat="1" ht="26.25" customHeight="1" x14ac:dyDescent="0.4">
      <c r="A38" s="101" t="s">
        <v>64</v>
      </c>
      <c r="B38" s="102">
        <v>20</v>
      </c>
      <c r="C38" s="108">
        <v>1</v>
      </c>
      <c r="D38" s="109">
        <v>211297885</v>
      </c>
      <c r="E38" s="110">
        <f>IF(ISBLANK(D38),"-",$D$48/$D$45*D38)</f>
        <v>244604449.92388594</v>
      </c>
      <c r="F38" s="109">
        <v>228043585</v>
      </c>
      <c r="G38" s="111">
        <f>IF(ISBLANK(F38),"-",$D$48/$F$45*F38)</f>
        <v>246332810.87632352</v>
      </c>
      <c r="I38" s="112"/>
      <c r="J38" s="90"/>
      <c r="K38" s="90"/>
      <c r="L38" s="94"/>
      <c r="M38" s="94"/>
      <c r="N38" s="95"/>
    </row>
    <row r="39" spans="1:14" s="8" customFormat="1" ht="26.25" customHeight="1" x14ac:dyDescent="0.4">
      <c r="A39" s="101" t="s">
        <v>65</v>
      </c>
      <c r="B39" s="102">
        <v>1</v>
      </c>
      <c r="C39" s="130">
        <v>2</v>
      </c>
      <c r="D39" s="113">
        <v>211510490</v>
      </c>
      <c r="E39" s="114">
        <f>IF(ISBLANK(D39),"-",$D$48/$D$45*D39)</f>
        <v>244850567.52736348</v>
      </c>
      <c r="F39" s="113">
        <v>228058943</v>
      </c>
      <c r="G39" s="115">
        <f>IF(ISBLANK(F39),"-",$D$48/$F$45*F39)</f>
        <v>246349400.59670281</v>
      </c>
      <c r="I39" s="289">
        <f>ABS((F43/D43*D42)-F42)/D42</f>
        <v>6.9076638878041684E-3</v>
      </c>
      <c r="J39" s="90"/>
      <c r="K39" s="90"/>
      <c r="L39" s="94"/>
      <c r="M39" s="94"/>
      <c r="N39" s="95"/>
    </row>
    <row r="40" spans="1:14" ht="26.25" customHeight="1" x14ac:dyDescent="0.4">
      <c r="A40" s="101" t="s">
        <v>66</v>
      </c>
      <c r="B40" s="102">
        <v>1</v>
      </c>
      <c r="C40" s="130">
        <v>3</v>
      </c>
      <c r="D40" s="113">
        <v>211259328</v>
      </c>
      <c r="E40" s="114">
        <f>IF(ISBLANK(D40),"-",$D$48/$D$45*D40)</f>
        <v>244559815.24249426</v>
      </c>
      <c r="F40" s="113">
        <v>227794566</v>
      </c>
      <c r="G40" s="115">
        <f>IF(ISBLANK(F40),"-",$D$48/$F$45*F40)</f>
        <v>246063820.41017377</v>
      </c>
      <c r="I40" s="289"/>
      <c r="L40" s="94"/>
      <c r="M40" s="94"/>
      <c r="N40" s="173"/>
    </row>
    <row r="41" spans="1:14" ht="27" customHeight="1" thickBot="1" x14ac:dyDescent="0.45">
      <c r="A41" s="101" t="s">
        <v>67</v>
      </c>
      <c r="B41" s="102">
        <v>1</v>
      </c>
      <c r="C41" s="116">
        <v>4</v>
      </c>
      <c r="D41" s="117"/>
      <c r="E41" s="118" t="str">
        <f>IF(ISBLANK(D41),"-",$D$48/$D$45*D41)</f>
        <v>-</v>
      </c>
      <c r="F41" s="117"/>
      <c r="G41" s="119" t="str">
        <f>IF(ISBLANK(F41),"-",$D$48/$F$45*F41)</f>
        <v>-</v>
      </c>
      <c r="I41" s="120"/>
      <c r="L41" s="94"/>
      <c r="M41" s="94"/>
      <c r="N41" s="173"/>
    </row>
    <row r="42" spans="1:14" ht="27" customHeight="1" thickBot="1" x14ac:dyDescent="0.45">
      <c r="A42" s="101" t="s">
        <v>68</v>
      </c>
      <c r="B42" s="102">
        <v>1</v>
      </c>
      <c r="C42" s="121" t="s">
        <v>69</v>
      </c>
      <c r="D42" s="122">
        <f>AVERAGE(D38:D41)</f>
        <v>211355901</v>
      </c>
      <c r="E42" s="123">
        <f>AVERAGE(E38:E41)</f>
        <v>244671610.89791456</v>
      </c>
      <c r="F42" s="122">
        <f>AVERAGE(F38:F41)</f>
        <v>227965698</v>
      </c>
      <c r="G42" s="124">
        <f>AVERAGE(G38:G41)</f>
        <v>246248677.29440007</v>
      </c>
      <c r="H42" s="125"/>
    </row>
    <row r="43" spans="1:14" ht="26.25" customHeight="1" x14ac:dyDescent="0.4">
      <c r="A43" s="101" t="s">
        <v>70</v>
      </c>
      <c r="B43" s="102">
        <v>1</v>
      </c>
      <c r="C43" s="126" t="s">
        <v>71</v>
      </c>
      <c r="D43" s="127">
        <v>19.95</v>
      </c>
      <c r="E43" s="173"/>
      <c r="F43" s="127">
        <v>21.38</v>
      </c>
      <c r="H43" s="125"/>
    </row>
    <row r="44" spans="1:14" ht="26.25" customHeight="1" x14ac:dyDescent="0.4">
      <c r="A44" s="101" t="s">
        <v>72</v>
      </c>
      <c r="B44" s="102">
        <v>1</v>
      </c>
      <c r="C44" s="128" t="s">
        <v>73</v>
      </c>
      <c r="D44" s="129">
        <f>D43*$B$34</f>
        <v>19.95</v>
      </c>
      <c r="E44" s="187"/>
      <c r="F44" s="129">
        <f>F43*$B$34</f>
        <v>21.38</v>
      </c>
      <c r="H44" s="125"/>
    </row>
    <row r="45" spans="1:14" ht="19.5" customHeight="1" thickBot="1" x14ac:dyDescent="0.35">
      <c r="A45" s="101" t="s">
        <v>74</v>
      </c>
      <c r="B45" s="130">
        <f>(B44/B43)*(B42/B41)*(B40/B39)*(B38/B37)*B36</f>
        <v>40</v>
      </c>
      <c r="C45" s="128" t="s">
        <v>75</v>
      </c>
      <c r="D45" s="131">
        <f>D44*$B$30/100</f>
        <v>17.276699999999998</v>
      </c>
      <c r="E45" s="170"/>
      <c r="F45" s="131">
        <f>F44*$B$30/100</f>
        <v>18.515079999999998</v>
      </c>
      <c r="H45" s="125"/>
    </row>
    <row r="46" spans="1:14" ht="19.5" customHeight="1" thickBot="1" x14ac:dyDescent="0.35">
      <c r="A46" s="290" t="s">
        <v>76</v>
      </c>
      <c r="B46" s="291"/>
      <c r="C46" s="128" t="s">
        <v>77</v>
      </c>
      <c r="D46" s="132">
        <f>D45/$B$45</f>
        <v>0.43191749999999995</v>
      </c>
      <c r="E46" s="133"/>
      <c r="F46" s="134">
        <f>F45/$B$45</f>
        <v>0.46287699999999993</v>
      </c>
      <c r="H46" s="125"/>
    </row>
    <row r="47" spans="1:14" ht="27" customHeight="1" thickBot="1" x14ac:dyDescent="0.45">
      <c r="A47" s="292"/>
      <c r="B47" s="293"/>
      <c r="C47" s="135" t="s">
        <v>78</v>
      </c>
      <c r="D47" s="136">
        <v>0.5</v>
      </c>
      <c r="E47" s="137"/>
      <c r="F47" s="133"/>
      <c r="H47" s="125"/>
    </row>
    <row r="48" spans="1:14" ht="18.75" x14ac:dyDescent="0.3">
      <c r="C48" s="138" t="s">
        <v>79</v>
      </c>
      <c r="D48" s="131">
        <f>D47*$B$45</f>
        <v>20</v>
      </c>
      <c r="F48" s="139"/>
      <c r="H48" s="125"/>
    </row>
    <row r="49" spans="1:12" ht="19.5" customHeight="1" thickBot="1" x14ac:dyDescent="0.35">
      <c r="C49" s="140" t="s">
        <v>80</v>
      </c>
      <c r="D49" s="141">
        <f>D48/B34</f>
        <v>20</v>
      </c>
      <c r="F49" s="139"/>
      <c r="H49" s="125"/>
    </row>
    <row r="50" spans="1:12" ht="18.75" x14ac:dyDescent="0.3">
      <c r="C50" s="99" t="s">
        <v>81</v>
      </c>
      <c r="D50" s="142">
        <f>AVERAGE(E38:E41,G38:G41)</f>
        <v>245460144.09615731</v>
      </c>
      <c r="F50" s="143"/>
      <c r="H50" s="125"/>
    </row>
    <row r="51" spans="1:12" ht="18.75" x14ac:dyDescent="0.3">
      <c r="C51" s="101" t="s">
        <v>82</v>
      </c>
      <c r="D51" s="144">
        <f>STDEV(E38:E41,G38:G41)/D50</f>
        <v>3.5661359270221385E-3</v>
      </c>
      <c r="F51" s="143"/>
      <c r="H51" s="125"/>
    </row>
    <row r="52" spans="1:12" ht="19.5" customHeight="1" thickBot="1" x14ac:dyDescent="0.35">
      <c r="C52" s="145" t="s">
        <v>19</v>
      </c>
      <c r="D52" s="146">
        <f>COUNT(E38:E41,G38:G41)</f>
        <v>6</v>
      </c>
      <c r="F52" s="143"/>
    </row>
    <row r="54" spans="1:12" ht="18.75" x14ac:dyDescent="0.3">
      <c r="A54" s="147" t="s">
        <v>1</v>
      </c>
      <c r="B54" s="148" t="s">
        <v>83</v>
      </c>
    </row>
    <row r="55" spans="1:12" ht="18.75" x14ac:dyDescent="0.3">
      <c r="A55" s="173" t="s">
        <v>84</v>
      </c>
      <c r="B55" s="149" t="str">
        <f>B21</f>
        <v>Each film coated tablet contains Amoxicillin Trihydrate Ph. Eur. eq to amoxicillin 500 mg, Clavualnate Potassium Ph. Eur. eq to Clavulanic acid 125 mg</v>
      </c>
    </row>
    <row r="56" spans="1:12" ht="26.25" customHeight="1" x14ac:dyDescent="0.4">
      <c r="A56" s="149" t="s">
        <v>85</v>
      </c>
      <c r="B56" s="150">
        <v>500</v>
      </c>
      <c r="C56" s="173" t="str">
        <f>B20</f>
        <v>AMOXICILLIN 500MG</v>
      </c>
      <c r="H56" s="187"/>
    </row>
    <row r="57" spans="1:12" ht="18.75" x14ac:dyDescent="0.3">
      <c r="A57" s="149" t="s">
        <v>86</v>
      </c>
      <c r="B57" s="227">
        <f>Uniformity!C46</f>
        <v>1202.4384999999997</v>
      </c>
      <c r="H57" s="187"/>
    </row>
    <row r="58" spans="1:12" ht="19.5" customHeight="1" thickBot="1" x14ac:dyDescent="0.35">
      <c r="H58" s="187"/>
    </row>
    <row r="59" spans="1:12" s="8" customFormat="1" ht="27" customHeight="1" thickBot="1" x14ac:dyDescent="0.45">
      <c r="A59" s="99" t="s">
        <v>87</v>
      </c>
      <c r="B59" s="100">
        <v>100</v>
      </c>
      <c r="C59" s="173"/>
      <c r="D59" s="151" t="s">
        <v>88</v>
      </c>
      <c r="E59" s="152" t="s">
        <v>60</v>
      </c>
      <c r="F59" s="152" t="s">
        <v>61</v>
      </c>
      <c r="G59" s="152" t="s">
        <v>89</v>
      </c>
      <c r="H59" s="103" t="s">
        <v>90</v>
      </c>
      <c r="L59" s="90"/>
    </row>
    <row r="60" spans="1:12" s="8" customFormat="1" ht="26.25" customHeight="1" x14ac:dyDescent="0.4">
      <c r="A60" s="101" t="s">
        <v>91</v>
      </c>
      <c r="B60" s="102">
        <v>1</v>
      </c>
      <c r="C60" s="294" t="s">
        <v>92</v>
      </c>
      <c r="D60" s="297">
        <v>140.41</v>
      </c>
      <c r="E60" s="153">
        <v>1</v>
      </c>
      <c r="F60" s="154">
        <v>283958137</v>
      </c>
      <c r="G60" s="228">
        <f>IF(ISBLANK(F60),"-",(F60/$D$50*$D$47*$B$68)*($B$57/$D$60))</f>
        <v>495.34544243210348</v>
      </c>
      <c r="H60" s="155">
        <f t="shared" ref="H60:H71" si="0">IF(ISBLANK(F60),"-",G60/$B$56)</f>
        <v>0.99069088486420698</v>
      </c>
      <c r="L60" s="90"/>
    </row>
    <row r="61" spans="1:12" s="8" customFormat="1" ht="26.25" customHeight="1" x14ac:dyDescent="0.4">
      <c r="A61" s="101" t="s">
        <v>93</v>
      </c>
      <c r="B61" s="102">
        <v>1</v>
      </c>
      <c r="C61" s="295"/>
      <c r="D61" s="298"/>
      <c r="E61" s="156">
        <v>2</v>
      </c>
      <c r="F61" s="113">
        <v>283170627</v>
      </c>
      <c r="G61" s="229">
        <f>IF(ISBLANK(F61),"-",(F61/$D$50*$D$47*$B$68)*($B$57/$D$60))</f>
        <v>493.9716853935098</v>
      </c>
      <c r="H61" s="157">
        <f t="shared" si="0"/>
        <v>0.98794337078701955</v>
      </c>
      <c r="L61" s="90"/>
    </row>
    <row r="62" spans="1:12" s="8" customFormat="1" ht="26.25" customHeight="1" x14ac:dyDescent="0.4">
      <c r="A62" s="101" t="s">
        <v>94</v>
      </c>
      <c r="B62" s="102">
        <v>1</v>
      </c>
      <c r="C62" s="295"/>
      <c r="D62" s="298"/>
      <c r="E62" s="156">
        <v>3</v>
      </c>
      <c r="F62" s="158">
        <v>282661720</v>
      </c>
      <c r="G62" s="229">
        <f>IF(ISBLANK(F62),"-",(F62/$D$50*$D$47*$B$68)*($B$57/$D$60))</f>
        <v>493.08393212912</v>
      </c>
      <c r="H62" s="157">
        <f t="shared" si="0"/>
        <v>0.98616786425823999</v>
      </c>
      <c r="L62" s="90"/>
    </row>
    <row r="63" spans="1:12" ht="27" customHeight="1" thickBot="1" x14ac:dyDescent="0.45">
      <c r="A63" s="101" t="s">
        <v>95</v>
      </c>
      <c r="B63" s="102">
        <v>1</v>
      </c>
      <c r="C63" s="296"/>
      <c r="D63" s="299"/>
      <c r="E63" s="159">
        <v>4</v>
      </c>
      <c r="F63" s="160"/>
      <c r="G63" s="229" t="str">
        <f>IF(ISBLANK(F63),"-",(F63/$D$50*$D$47*$B$68)*($B$57/$D$60))</f>
        <v>-</v>
      </c>
      <c r="H63" s="157" t="str">
        <f t="shared" si="0"/>
        <v>-</v>
      </c>
    </row>
    <row r="64" spans="1:12" ht="26.25" customHeight="1" x14ac:dyDescent="0.4">
      <c r="A64" s="101" t="s">
        <v>96</v>
      </c>
      <c r="B64" s="102">
        <v>1</v>
      </c>
      <c r="C64" s="294" t="s">
        <v>97</v>
      </c>
      <c r="D64" s="297">
        <v>154.19</v>
      </c>
      <c r="E64" s="153">
        <v>1</v>
      </c>
      <c r="F64" s="154">
        <v>310483510</v>
      </c>
      <c r="G64" s="230">
        <f>IF(ISBLANK(F64),"-",(F64/$D$50*$D$47*$B$68)*($B$57/$D$64))</f>
        <v>493.21266900778136</v>
      </c>
      <c r="H64" s="161">
        <f t="shared" si="0"/>
        <v>0.98642533801556276</v>
      </c>
    </row>
    <row r="65" spans="1:8" ht="26.25" customHeight="1" x14ac:dyDescent="0.4">
      <c r="A65" s="101" t="s">
        <v>98</v>
      </c>
      <c r="B65" s="102">
        <v>1</v>
      </c>
      <c r="C65" s="295"/>
      <c r="D65" s="298"/>
      <c r="E65" s="156">
        <v>2</v>
      </c>
      <c r="F65" s="113">
        <v>309902602</v>
      </c>
      <c r="G65" s="231">
        <f>IF(ISBLANK(F65),"-",(F65/$D$50*$D$47*$B$68)*($B$57/$D$64))</f>
        <v>492.28987866336666</v>
      </c>
      <c r="H65" s="162">
        <f t="shared" si="0"/>
        <v>0.98457975732673331</v>
      </c>
    </row>
    <row r="66" spans="1:8" ht="26.25" customHeight="1" x14ac:dyDescent="0.4">
      <c r="A66" s="101" t="s">
        <v>99</v>
      </c>
      <c r="B66" s="102">
        <v>1</v>
      </c>
      <c r="C66" s="295"/>
      <c r="D66" s="298"/>
      <c r="E66" s="156">
        <v>3</v>
      </c>
      <c r="F66" s="113">
        <v>309227368</v>
      </c>
      <c r="G66" s="231">
        <f>IF(ISBLANK(F66),"-",(F66/$D$50*$D$47*$B$68)*($B$57/$D$64))</f>
        <v>491.21724854737499</v>
      </c>
      <c r="H66" s="162">
        <f t="shared" si="0"/>
        <v>0.98243449709474995</v>
      </c>
    </row>
    <row r="67" spans="1:8" ht="27" customHeight="1" thickBot="1" x14ac:dyDescent="0.45">
      <c r="A67" s="101" t="s">
        <v>100</v>
      </c>
      <c r="B67" s="102">
        <v>1</v>
      </c>
      <c r="C67" s="296"/>
      <c r="D67" s="299"/>
      <c r="E67" s="159">
        <v>4</v>
      </c>
      <c r="F67" s="160"/>
      <c r="G67" s="232" t="str">
        <f>IF(ISBLANK(F67),"-",(F67/$D$50*$D$47*$B$68)*($B$57/$D$64))</f>
        <v>-</v>
      </c>
      <c r="H67" s="163" t="str">
        <f t="shared" si="0"/>
        <v>-</v>
      </c>
    </row>
    <row r="68" spans="1:8" ht="26.25" customHeight="1" x14ac:dyDescent="0.4">
      <c r="A68" s="101" t="s">
        <v>101</v>
      </c>
      <c r="B68" s="164">
        <f>(B67/B66)*(B65/B64)*(B63/B62)*(B61/B60)*B59</f>
        <v>100</v>
      </c>
      <c r="C68" s="294" t="s">
        <v>102</v>
      </c>
      <c r="D68" s="297">
        <v>166.97</v>
      </c>
      <c r="E68" s="153">
        <v>1</v>
      </c>
      <c r="F68" s="154">
        <v>346577984</v>
      </c>
      <c r="G68" s="230">
        <f>IF(ISBLANK(F68),"-",(F68/$D$50*$D$47*$B$68)*($B$57/$D$68))</f>
        <v>508.4103892167725</v>
      </c>
      <c r="H68" s="157">
        <f t="shared" si="0"/>
        <v>1.016820778433545</v>
      </c>
    </row>
    <row r="69" spans="1:8" ht="27" customHeight="1" thickBot="1" x14ac:dyDescent="0.45">
      <c r="A69" s="145" t="s">
        <v>103</v>
      </c>
      <c r="B69" s="165">
        <f>(D47*B68)/B56*B57</f>
        <v>120.24384999999998</v>
      </c>
      <c r="C69" s="295"/>
      <c r="D69" s="298"/>
      <c r="E69" s="156">
        <v>2</v>
      </c>
      <c r="F69" s="113">
        <v>346228683</v>
      </c>
      <c r="G69" s="231">
        <f>IF(ISBLANK(F69),"-",(F69/$D$50*$D$47*$B$68)*($B$57/$D$68))</f>
        <v>507.89798431639719</v>
      </c>
      <c r="H69" s="157">
        <f t="shared" si="0"/>
        <v>1.0157959686327944</v>
      </c>
    </row>
    <row r="70" spans="1:8" ht="26.25" customHeight="1" x14ac:dyDescent="0.4">
      <c r="A70" s="302" t="s">
        <v>76</v>
      </c>
      <c r="B70" s="303"/>
      <c r="C70" s="295"/>
      <c r="D70" s="298"/>
      <c r="E70" s="156">
        <v>3</v>
      </c>
      <c r="F70" s="113">
        <v>346291807</v>
      </c>
      <c r="G70" s="231">
        <f>IF(ISBLANK(F70),"-",(F70/$D$50*$D$47*$B$68)*($B$57/$D$68))</f>
        <v>507.99058367033911</v>
      </c>
      <c r="H70" s="157">
        <f t="shared" si="0"/>
        <v>1.0159811673406782</v>
      </c>
    </row>
    <row r="71" spans="1:8" ht="27" customHeight="1" thickBot="1" x14ac:dyDescent="0.45">
      <c r="A71" s="304"/>
      <c r="B71" s="305"/>
      <c r="C71" s="300"/>
      <c r="D71" s="299"/>
      <c r="E71" s="159">
        <v>4</v>
      </c>
      <c r="F71" s="160"/>
      <c r="G71" s="232" t="str">
        <f>IF(ISBLANK(F71),"-",(F71/$D$50*$D$47*$B$68)*($B$57/$D$68))</f>
        <v>-</v>
      </c>
      <c r="H71" s="16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67" t="s">
        <v>69</v>
      </c>
      <c r="G72" s="237">
        <f>AVERAGE(G60:G71)</f>
        <v>498.15775704186279</v>
      </c>
      <c r="H72" s="168">
        <f>AVERAGE(H60:H71)</f>
        <v>0.99631551408372543</v>
      </c>
    </row>
    <row r="73" spans="1:8" ht="26.25" customHeight="1" x14ac:dyDescent="0.4">
      <c r="C73" s="187"/>
      <c r="D73" s="187"/>
      <c r="E73" s="187"/>
      <c r="F73" s="169" t="s">
        <v>82</v>
      </c>
      <c r="G73" s="233">
        <f>STDEV(G60:G71)/G72</f>
        <v>1.5137310470154841E-2</v>
      </c>
      <c r="H73" s="233">
        <f>STDEV(H60:H71)/H72</f>
        <v>1.5137310470154864E-2</v>
      </c>
    </row>
    <row r="74" spans="1:8" ht="27" customHeight="1" thickBot="1" x14ac:dyDescent="0.45">
      <c r="A74" s="187"/>
      <c r="B74" s="187"/>
      <c r="C74" s="187"/>
      <c r="D74" s="187"/>
      <c r="E74" s="170"/>
      <c r="F74" s="171" t="s">
        <v>19</v>
      </c>
      <c r="G74" s="172">
        <f>COUNT(G60:G71)</f>
        <v>9</v>
      </c>
      <c r="H74" s="172">
        <f>COUNT(H60:H71)</f>
        <v>9</v>
      </c>
    </row>
    <row r="76" spans="1:8" ht="26.25" customHeight="1" x14ac:dyDescent="0.4">
      <c r="A76" s="221" t="s">
        <v>104</v>
      </c>
      <c r="B76" s="179" t="s">
        <v>105</v>
      </c>
      <c r="C76" s="306" t="str">
        <f>B20</f>
        <v>AMOXICILLIN 500MG</v>
      </c>
      <c r="D76" s="306"/>
      <c r="E76" s="173" t="s">
        <v>106</v>
      </c>
      <c r="F76" s="173"/>
      <c r="G76" s="174">
        <f>H72</f>
        <v>0.99631551408372543</v>
      </c>
      <c r="H76" s="251"/>
    </row>
    <row r="77" spans="1:8" ht="33.75" x14ac:dyDescent="0.5">
      <c r="A77" s="88" t="s">
        <v>107</v>
      </c>
      <c r="B77" s="88" t="s">
        <v>108</v>
      </c>
      <c r="D77" s="259" t="s">
        <v>128</v>
      </c>
    </row>
    <row r="78" spans="1:8" ht="18.75" x14ac:dyDescent="0.3">
      <c r="A78" s="88"/>
      <c r="B78" s="88"/>
    </row>
    <row r="79" spans="1:8" ht="26.25" customHeight="1" x14ac:dyDescent="0.4">
      <c r="A79" s="221" t="s">
        <v>3</v>
      </c>
      <c r="B79" s="301" t="str">
        <f>B26</f>
        <v xml:space="preserve">Amoxicillin </v>
      </c>
      <c r="C79" s="301"/>
    </row>
    <row r="80" spans="1:8" ht="26.25" customHeight="1" x14ac:dyDescent="0.4">
      <c r="A80" s="179" t="s">
        <v>46</v>
      </c>
      <c r="B80" s="301">
        <f>B27</f>
        <v>0</v>
      </c>
      <c r="C80" s="301"/>
    </row>
    <row r="81" spans="1:12" ht="27" customHeight="1" thickBot="1" x14ac:dyDescent="0.45">
      <c r="A81" s="179" t="s">
        <v>5</v>
      </c>
      <c r="B81" s="175">
        <f>B28</f>
        <v>86.6</v>
      </c>
    </row>
    <row r="82" spans="1:12" s="8" customFormat="1" ht="27" customHeight="1" thickBot="1" x14ac:dyDescent="0.45">
      <c r="A82" s="179" t="s">
        <v>47</v>
      </c>
      <c r="B82" s="89">
        <v>0</v>
      </c>
      <c r="C82" s="283" t="s">
        <v>48</v>
      </c>
      <c r="D82" s="284"/>
      <c r="E82" s="284"/>
      <c r="F82" s="284"/>
      <c r="G82" s="285"/>
      <c r="I82" s="90"/>
      <c r="J82" s="90"/>
      <c r="K82" s="90"/>
      <c r="L82" s="90"/>
    </row>
    <row r="83" spans="1:12" s="8" customFormat="1" ht="19.5" customHeight="1" thickBot="1" x14ac:dyDescent="0.35">
      <c r="A83" s="179" t="s">
        <v>49</v>
      </c>
      <c r="B83" s="251">
        <f>B81-B82</f>
        <v>86.6</v>
      </c>
      <c r="C83" s="91"/>
      <c r="D83" s="91"/>
      <c r="E83" s="91"/>
      <c r="F83" s="91"/>
      <c r="G83" s="92"/>
      <c r="I83" s="90"/>
      <c r="J83" s="90"/>
      <c r="K83" s="90"/>
      <c r="L83" s="90"/>
    </row>
    <row r="84" spans="1:12" s="8" customFormat="1" ht="27" customHeight="1" thickBot="1" x14ac:dyDescent="0.45">
      <c r="A84" s="179" t="s">
        <v>50</v>
      </c>
      <c r="B84" s="93">
        <v>1</v>
      </c>
      <c r="C84" s="271" t="s">
        <v>109</v>
      </c>
      <c r="D84" s="272"/>
      <c r="E84" s="272"/>
      <c r="F84" s="272"/>
      <c r="G84" s="272"/>
      <c r="H84" s="273"/>
      <c r="I84" s="90"/>
      <c r="J84" s="90"/>
      <c r="K84" s="90"/>
      <c r="L84" s="90"/>
    </row>
    <row r="85" spans="1:12" s="8" customFormat="1" ht="27" customHeight="1" thickBot="1" x14ac:dyDescent="0.45">
      <c r="A85" s="179" t="s">
        <v>52</v>
      </c>
      <c r="B85" s="93">
        <v>1</v>
      </c>
      <c r="C85" s="271" t="s">
        <v>110</v>
      </c>
      <c r="D85" s="272"/>
      <c r="E85" s="272"/>
      <c r="F85" s="272"/>
      <c r="G85" s="272"/>
      <c r="H85" s="273"/>
      <c r="I85" s="90"/>
      <c r="J85" s="90"/>
      <c r="K85" s="90"/>
      <c r="L85" s="90"/>
    </row>
    <row r="86" spans="1:12" s="8" customFormat="1" ht="18.75" x14ac:dyDescent="0.3">
      <c r="A86" s="179"/>
      <c r="B86" s="96"/>
      <c r="C86" s="97"/>
      <c r="D86" s="97"/>
      <c r="E86" s="97"/>
      <c r="F86" s="97"/>
      <c r="G86" s="97"/>
      <c r="H86" s="97"/>
      <c r="I86" s="90"/>
      <c r="J86" s="90"/>
      <c r="K86" s="90"/>
      <c r="L86" s="90"/>
    </row>
    <row r="87" spans="1:12" s="8" customFormat="1" ht="18.75" x14ac:dyDescent="0.3">
      <c r="A87" s="179" t="s">
        <v>54</v>
      </c>
      <c r="B87" s="98">
        <f>B84/B85</f>
        <v>1</v>
      </c>
      <c r="C87" s="173" t="s">
        <v>55</v>
      </c>
      <c r="D87" s="173"/>
      <c r="E87" s="173"/>
      <c r="F87" s="173"/>
      <c r="G87" s="173"/>
      <c r="I87" s="90"/>
      <c r="J87" s="90"/>
      <c r="K87" s="90"/>
      <c r="L87" s="90"/>
    </row>
    <row r="88" spans="1:12" ht="19.5" customHeight="1" thickBot="1" x14ac:dyDescent="0.35">
      <c r="A88" s="88"/>
      <c r="B88" s="88"/>
    </row>
    <row r="89" spans="1:12" ht="27" customHeight="1" thickBot="1" x14ac:dyDescent="0.45">
      <c r="A89" s="99" t="s">
        <v>56</v>
      </c>
      <c r="B89" s="100">
        <v>20</v>
      </c>
      <c r="D89" s="249" t="s">
        <v>57</v>
      </c>
      <c r="E89" s="250"/>
      <c r="F89" s="286" t="s">
        <v>58</v>
      </c>
      <c r="G89" s="288"/>
    </row>
    <row r="90" spans="1:12" ht="27" customHeight="1" thickBot="1" x14ac:dyDescent="0.45">
      <c r="A90" s="101" t="s">
        <v>59</v>
      </c>
      <c r="B90" s="102">
        <v>10</v>
      </c>
      <c r="C90" s="252" t="s">
        <v>60</v>
      </c>
      <c r="D90" s="104" t="s">
        <v>61</v>
      </c>
      <c r="E90" s="105" t="s">
        <v>62</v>
      </c>
      <c r="F90" s="104" t="s">
        <v>61</v>
      </c>
      <c r="G90" s="176" t="s">
        <v>62</v>
      </c>
      <c r="I90" s="107" t="s">
        <v>63</v>
      </c>
    </row>
    <row r="91" spans="1:12" ht="26.25" customHeight="1" x14ac:dyDescent="0.4">
      <c r="A91" s="101" t="s">
        <v>64</v>
      </c>
      <c r="B91" s="102">
        <v>25</v>
      </c>
      <c r="C91" s="177">
        <v>1</v>
      </c>
      <c r="D91" s="109">
        <v>120973297</v>
      </c>
      <c r="E91" s="110">
        <f>IF(ISBLANK(D91),"-",$D$101/$D$98*D91)</f>
        <v>145548917.30053377</v>
      </c>
      <c r="F91" s="109">
        <v>130814033</v>
      </c>
      <c r="G91" s="111">
        <f>IF(ISBLANK(F91),"-",$D$101/$F$98*F91)</f>
        <v>144191929.51314211</v>
      </c>
      <c r="I91" s="112"/>
    </row>
    <row r="92" spans="1:12" ht="26.25" customHeight="1" x14ac:dyDescent="0.4">
      <c r="A92" s="101" t="s">
        <v>65</v>
      </c>
      <c r="B92" s="102">
        <v>1</v>
      </c>
      <c r="C92" s="187">
        <v>2</v>
      </c>
      <c r="D92" s="113">
        <v>120873903</v>
      </c>
      <c r="E92" s="114">
        <f>IF(ISBLANK(D92),"-",$D$101/$D$98*D92)</f>
        <v>145429331.49569148</v>
      </c>
      <c r="F92" s="113">
        <v>130780098</v>
      </c>
      <c r="G92" s="115">
        <f>IF(ISBLANK(F92),"-",$D$101/$F$98*F92)</f>
        <v>144154524.0986326</v>
      </c>
      <c r="I92" s="289">
        <f>ABS((F96/D96*D95)-F95)/D95</f>
        <v>8.2615494826773234E-3</v>
      </c>
    </row>
    <row r="93" spans="1:12" ht="26.25" customHeight="1" x14ac:dyDescent="0.4">
      <c r="A93" s="101" t="s">
        <v>66</v>
      </c>
      <c r="B93" s="102">
        <v>1</v>
      </c>
      <c r="C93" s="187">
        <v>3</v>
      </c>
      <c r="D93" s="113">
        <v>121398382</v>
      </c>
      <c r="E93" s="114">
        <f>IF(ISBLANK(D93),"-",$D$101/$D$98*D93)</f>
        <v>146060357.94937956</v>
      </c>
      <c r="F93" s="113">
        <v>131118429</v>
      </c>
      <c r="G93" s="115">
        <f>IF(ISBLANK(F93),"-",$D$101/$F$98*F93)</f>
        <v>144527455.03413942</v>
      </c>
      <c r="I93" s="289"/>
    </row>
    <row r="94" spans="1:12" ht="27" customHeight="1" thickBot="1" x14ac:dyDescent="0.45">
      <c r="A94" s="101" t="s">
        <v>67</v>
      </c>
      <c r="B94" s="102">
        <v>1</v>
      </c>
      <c r="C94" s="178">
        <v>4</v>
      </c>
      <c r="D94" s="117">
        <v>120307472</v>
      </c>
      <c r="E94" s="118">
        <f>IF(ISBLANK(D94),"-",$D$101/$D$98*D94)</f>
        <v>144747830.52961084</v>
      </c>
      <c r="F94" s="246">
        <v>131101765</v>
      </c>
      <c r="G94" s="119">
        <f>IF(ISBLANK(F94),"-",$D$101/$F$98*F94)</f>
        <v>144509086.86477485</v>
      </c>
      <c r="I94" s="120"/>
    </row>
    <row r="95" spans="1:12" ht="27" customHeight="1" thickBot="1" x14ac:dyDescent="0.45">
      <c r="A95" s="101" t="s">
        <v>68</v>
      </c>
      <c r="B95" s="102">
        <v>1</v>
      </c>
      <c r="C95" s="179" t="s">
        <v>69</v>
      </c>
      <c r="D95" s="180">
        <f>AVERAGE(D91:D94)</f>
        <v>120888263.5</v>
      </c>
      <c r="E95" s="123">
        <f>AVERAGE(E91:E94)</f>
        <v>145446609.31880391</v>
      </c>
      <c r="F95" s="181">
        <f>AVERAGE(F91:F94)</f>
        <v>130953581.25</v>
      </c>
      <c r="G95" s="182">
        <f>AVERAGE(G91:G94)</f>
        <v>144345748.87767223</v>
      </c>
    </row>
    <row r="96" spans="1:12" ht="26.25" customHeight="1" x14ac:dyDescent="0.4">
      <c r="A96" s="101" t="s">
        <v>70</v>
      </c>
      <c r="B96" s="175">
        <v>1</v>
      </c>
      <c r="C96" s="183" t="s">
        <v>111</v>
      </c>
      <c r="D96" s="184">
        <v>26.66</v>
      </c>
      <c r="E96" s="173"/>
      <c r="F96" s="127">
        <v>29.1</v>
      </c>
    </row>
    <row r="97" spans="1:10" ht="26.25" customHeight="1" x14ac:dyDescent="0.4">
      <c r="A97" s="101" t="s">
        <v>72</v>
      </c>
      <c r="B97" s="175">
        <v>1</v>
      </c>
      <c r="C97" s="185" t="s">
        <v>112</v>
      </c>
      <c r="D97" s="186">
        <f>D96*$B$87</f>
        <v>26.66</v>
      </c>
      <c r="E97" s="187"/>
      <c r="F97" s="129">
        <f>F96*$B$87</f>
        <v>29.1</v>
      </c>
    </row>
    <row r="98" spans="1:10" ht="19.5" customHeight="1" thickBot="1" x14ac:dyDescent="0.35">
      <c r="A98" s="101" t="s">
        <v>74</v>
      </c>
      <c r="B98" s="187">
        <f>(B97/B96)*(B95/B94)*(B93/B92)*(B91/B90)*B89</f>
        <v>50</v>
      </c>
      <c r="C98" s="185" t="s">
        <v>113</v>
      </c>
      <c r="D98" s="188">
        <f>D97*$B$83/100</f>
        <v>23.08756</v>
      </c>
      <c r="E98" s="170"/>
      <c r="F98" s="131">
        <f>F97*$B$83/100</f>
        <v>25.200599999999998</v>
      </c>
    </row>
    <row r="99" spans="1:10" ht="19.5" customHeight="1" thickBot="1" x14ac:dyDescent="0.35">
      <c r="A99" s="290" t="s">
        <v>76</v>
      </c>
      <c r="B99" s="307"/>
      <c r="C99" s="185" t="s">
        <v>114</v>
      </c>
      <c r="D99" s="189">
        <f>D98/$B$98</f>
        <v>0.46175119999999997</v>
      </c>
      <c r="E99" s="170"/>
      <c r="F99" s="134">
        <f>F98/$B$98</f>
        <v>0.5040119999999999</v>
      </c>
      <c r="H99" s="125"/>
    </row>
    <row r="100" spans="1:10" ht="19.5" customHeight="1" thickBot="1" x14ac:dyDescent="0.35">
      <c r="A100" s="292"/>
      <c r="B100" s="308"/>
      <c r="C100" s="185" t="s">
        <v>78</v>
      </c>
      <c r="D100" s="191">
        <f>$B$56/$B$116</f>
        <v>0.55555555555555558</v>
      </c>
      <c r="F100" s="139"/>
      <c r="G100" s="197"/>
      <c r="H100" s="125"/>
    </row>
    <row r="101" spans="1:10" ht="18.75" x14ac:dyDescent="0.3">
      <c r="C101" s="185" t="s">
        <v>79</v>
      </c>
      <c r="D101" s="186">
        <f>D100*$B$98</f>
        <v>27.777777777777779</v>
      </c>
      <c r="F101" s="139"/>
      <c r="H101" s="125"/>
    </row>
    <row r="102" spans="1:10" ht="19.5" customHeight="1" thickBot="1" x14ac:dyDescent="0.35">
      <c r="C102" s="192" t="s">
        <v>80</v>
      </c>
      <c r="D102" s="193">
        <f>D101/B34</f>
        <v>27.777777777777779</v>
      </c>
      <c r="F102" s="143"/>
      <c r="H102" s="125"/>
      <c r="J102" s="194"/>
    </row>
    <row r="103" spans="1:10" ht="18.75" x14ac:dyDescent="0.3">
      <c r="C103" s="195" t="s">
        <v>115</v>
      </c>
      <c r="D103" s="196">
        <f>AVERAGE(E91:E94,G91:G94)</f>
        <v>144896179.09823808</v>
      </c>
      <c r="F103" s="143"/>
      <c r="G103" s="197"/>
      <c r="H103" s="125"/>
      <c r="J103" s="198"/>
    </row>
    <row r="104" spans="1:10" ht="18.75" x14ac:dyDescent="0.3">
      <c r="C104" s="169" t="s">
        <v>82</v>
      </c>
      <c r="D104" s="199">
        <f>STDEV(E91:E94,G91:G94)/D103</f>
        <v>4.8236139544033212E-3</v>
      </c>
      <c r="F104" s="143"/>
      <c r="H104" s="125"/>
      <c r="J104" s="198"/>
    </row>
    <row r="105" spans="1:10" ht="19.5" customHeight="1" thickBot="1" x14ac:dyDescent="0.35">
      <c r="C105" s="171" t="s">
        <v>19</v>
      </c>
      <c r="D105" s="200">
        <f>COUNT(E91:E94,G91:G94)</f>
        <v>8</v>
      </c>
      <c r="F105" s="143"/>
      <c r="H105" s="125"/>
      <c r="J105" s="198"/>
    </row>
    <row r="106" spans="1:10" ht="19.5" customHeight="1" thickBot="1" x14ac:dyDescent="0.35">
      <c r="A106" s="147"/>
      <c r="B106" s="147"/>
      <c r="C106" s="147"/>
      <c r="D106" s="147"/>
      <c r="E106" s="147"/>
    </row>
    <row r="107" spans="1:10" ht="26.25" customHeight="1" x14ac:dyDescent="0.4">
      <c r="A107" s="99" t="s">
        <v>116</v>
      </c>
      <c r="B107" s="100">
        <v>900</v>
      </c>
      <c r="C107" s="249" t="s">
        <v>117</v>
      </c>
      <c r="D107" s="201" t="s">
        <v>61</v>
      </c>
      <c r="E107" s="202" t="s">
        <v>118</v>
      </c>
      <c r="F107" s="203" t="s">
        <v>119</v>
      </c>
    </row>
    <row r="108" spans="1:10" ht="26.25" customHeight="1" x14ac:dyDescent="0.4">
      <c r="A108" s="101" t="s">
        <v>120</v>
      </c>
      <c r="B108" s="102">
        <v>1</v>
      </c>
      <c r="C108" s="204">
        <v>1</v>
      </c>
      <c r="D108" s="205">
        <v>126029040</v>
      </c>
      <c r="E108" s="234">
        <f t="shared" ref="E108:E113" si="1">IF(ISBLANK(D108),"-",D108/$D$103*$D$100*$B$116)</f>
        <v>434.89428356338385</v>
      </c>
      <c r="F108" s="206">
        <f t="shared" ref="F108:F113" si="2">IF(ISBLANK(D108), "-", E108/$B$56)</f>
        <v>0.86978856712676766</v>
      </c>
    </row>
    <row r="109" spans="1:10" ht="26.25" customHeight="1" x14ac:dyDescent="0.4">
      <c r="A109" s="101" t="s">
        <v>93</v>
      </c>
      <c r="B109" s="102">
        <v>1</v>
      </c>
      <c r="C109" s="204">
        <v>2</v>
      </c>
      <c r="D109" s="205">
        <v>111179379</v>
      </c>
      <c r="E109" s="235">
        <f t="shared" si="1"/>
        <v>383.65186608758523</v>
      </c>
      <c r="F109" s="207">
        <f t="shared" si="2"/>
        <v>0.76730373217517045</v>
      </c>
    </row>
    <row r="110" spans="1:10" ht="26.25" customHeight="1" x14ac:dyDescent="0.4">
      <c r="A110" s="101" t="s">
        <v>94</v>
      </c>
      <c r="B110" s="102">
        <v>1</v>
      </c>
      <c r="C110" s="204">
        <v>3</v>
      </c>
      <c r="D110" s="205">
        <v>125887385</v>
      </c>
      <c r="E110" s="235">
        <f t="shared" si="1"/>
        <v>434.40546805119573</v>
      </c>
      <c r="F110" s="207">
        <f t="shared" si="2"/>
        <v>0.86881093610239146</v>
      </c>
    </row>
    <row r="111" spans="1:10" ht="26.25" customHeight="1" x14ac:dyDescent="0.4">
      <c r="A111" s="101" t="s">
        <v>95</v>
      </c>
      <c r="B111" s="102">
        <v>1</v>
      </c>
      <c r="C111" s="204">
        <v>4</v>
      </c>
      <c r="D111" s="205">
        <v>125433543</v>
      </c>
      <c r="E111" s="235">
        <f t="shared" si="1"/>
        <v>432.83937430454046</v>
      </c>
      <c r="F111" s="207">
        <f t="shared" si="2"/>
        <v>0.86567874860908089</v>
      </c>
    </row>
    <row r="112" spans="1:10" ht="26.25" customHeight="1" x14ac:dyDescent="0.4">
      <c r="A112" s="101" t="s">
        <v>96</v>
      </c>
      <c r="B112" s="102">
        <v>1</v>
      </c>
      <c r="C112" s="204">
        <v>5</v>
      </c>
      <c r="D112" s="205">
        <v>130964572</v>
      </c>
      <c r="E112" s="235">
        <f t="shared" si="1"/>
        <v>451.92555392094715</v>
      </c>
      <c r="F112" s="207">
        <f t="shared" si="2"/>
        <v>0.90385110784189426</v>
      </c>
    </row>
    <row r="113" spans="1:10" ht="26.25" customHeight="1" x14ac:dyDescent="0.4">
      <c r="A113" s="101" t="s">
        <v>98</v>
      </c>
      <c r="B113" s="102">
        <v>1</v>
      </c>
      <c r="C113" s="208">
        <v>6</v>
      </c>
      <c r="D113" s="209">
        <v>126910489</v>
      </c>
      <c r="E113" s="236">
        <f t="shared" si="1"/>
        <v>437.93594071916846</v>
      </c>
      <c r="F113" s="210">
        <f t="shared" si="2"/>
        <v>0.87587188143833694</v>
      </c>
    </row>
    <row r="114" spans="1:10" ht="26.25" customHeight="1" x14ac:dyDescent="0.4">
      <c r="A114" s="101" t="s">
        <v>99</v>
      </c>
      <c r="B114" s="102">
        <v>1</v>
      </c>
      <c r="C114" s="204"/>
      <c r="D114" s="187"/>
      <c r="E114" s="173"/>
      <c r="F114" s="211"/>
      <c r="H114" s="238" t="s">
        <v>128</v>
      </c>
    </row>
    <row r="115" spans="1:10" ht="26.25" customHeight="1" x14ac:dyDescent="0.4">
      <c r="A115" s="101" t="s">
        <v>100</v>
      </c>
      <c r="B115" s="102">
        <v>1</v>
      </c>
      <c r="C115" s="204"/>
      <c r="D115" s="212" t="s">
        <v>69</v>
      </c>
      <c r="E115" s="238">
        <f>AVERAGE(E108:E113)</f>
        <v>429.27541444113677</v>
      </c>
      <c r="F115" s="213">
        <f>AVERAGE(F108:F113)</f>
        <v>0.85855082888227363</v>
      </c>
      <c r="G115" s="212" t="s">
        <v>69</v>
      </c>
      <c r="H115" s="213">
        <f>AVERAGE('Amoxicillin Trihydrate '!F108:F113,F108:F113)</f>
        <v>0.83087766707153954</v>
      </c>
    </row>
    <row r="116" spans="1:10" ht="27" customHeight="1" thickBot="1" x14ac:dyDescent="0.45">
      <c r="A116" s="101" t="s">
        <v>101</v>
      </c>
      <c r="B116" s="130">
        <f>(B115/B114)*(B113/B112)*(B111/B110)*(B109/B108)*B107</f>
        <v>900</v>
      </c>
      <c r="C116" s="214"/>
      <c r="D116" s="179" t="s">
        <v>82</v>
      </c>
      <c r="E116" s="215">
        <f>STDEV(E108:E113)/E115</f>
        <v>5.453367622027986E-2</v>
      </c>
      <c r="F116" s="215">
        <f>STDEV(F108:F113)/F115</f>
        <v>5.4533676220279853E-2</v>
      </c>
      <c r="G116" s="179" t="s">
        <v>82</v>
      </c>
      <c r="H116" s="310">
        <f>STDEV('Amoxicillin Trihydrate '!F108:F113,F108:F113)/H115</f>
        <v>7.58697096853585E-2</v>
      </c>
      <c r="I116" s="173"/>
    </row>
    <row r="117" spans="1:10" ht="27" customHeight="1" thickBot="1" x14ac:dyDescent="0.45">
      <c r="A117" s="290" t="s">
        <v>76</v>
      </c>
      <c r="B117" s="291"/>
      <c r="C117" s="216"/>
      <c r="D117" s="217" t="s">
        <v>19</v>
      </c>
      <c r="E117" s="218">
        <f>COUNT(E108:E113)</f>
        <v>6</v>
      </c>
      <c r="F117" s="218">
        <f>COUNT(F108:F113)</f>
        <v>6</v>
      </c>
      <c r="G117" s="217" t="s">
        <v>19</v>
      </c>
      <c r="H117" s="218">
        <f>COUNT('Amoxicillin Trihydrate '!F108:F113,F108:F113)</f>
        <v>12</v>
      </c>
      <c r="I117" s="173"/>
      <c r="J117" s="198"/>
    </row>
    <row r="118" spans="1:10" ht="19.5" customHeight="1" thickBot="1" x14ac:dyDescent="0.35">
      <c r="A118" s="292"/>
      <c r="B118" s="293"/>
      <c r="C118" s="173"/>
      <c r="D118" s="173"/>
      <c r="E118" s="173"/>
      <c r="F118" s="187"/>
      <c r="G118" s="173"/>
      <c r="H118" s="173"/>
      <c r="I118" s="173"/>
    </row>
    <row r="119" spans="1:10" ht="18.75" x14ac:dyDescent="0.3">
      <c r="A119" s="225"/>
      <c r="B119" s="97"/>
      <c r="C119" s="173"/>
      <c r="D119" s="173"/>
      <c r="E119" s="173"/>
      <c r="F119" s="187"/>
      <c r="G119" s="173"/>
      <c r="H119" s="173"/>
      <c r="I119" s="173"/>
    </row>
    <row r="120" spans="1:10" ht="26.25" customHeight="1" x14ac:dyDescent="0.4">
      <c r="A120" s="221" t="s">
        <v>104</v>
      </c>
      <c r="B120" s="179" t="s">
        <v>121</v>
      </c>
      <c r="C120" s="306" t="str">
        <f>B20</f>
        <v>AMOXICILLIN 500MG</v>
      </c>
      <c r="D120" s="306"/>
      <c r="E120" s="173" t="s">
        <v>122</v>
      </c>
      <c r="F120" s="173"/>
      <c r="G120" s="174">
        <f>F115</f>
        <v>0.85855082888227363</v>
      </c>
      <c r="H120" s="173"/>
      <c r="I120" s="173"/>
    </row>
    <row r="121" spans="1:10" ht="19.5" customHeight="1" thickBot="1" x14ac:dyDescent="0.35">
      <c r="A121" s="253"/>
      <c r="B121" s="253"/>
      <c r="C121" s="219"/>
      <c r="D121" s="219"/>
      <c r="E121" s="219"/>
      <c r="F121" s="219"/>
      <c r="G121" s="219"/>
      <c r="H121" s="219"/>
    </row>
    <row r="122" spans="1:10" ht="18.75" x14ac:dyDescent="0.3">
      <c r="B122" s="309" t="s">
        <v>24</v>
      </c>
      <c r="C122" s="309"/>
      <c r="E122" s="252" t="s">
        <v>25</v>
      </c>
      <c r="F122" s="220"/>
      <c r="G122" s="309" t="s">
        <v>26</v>
      </c>
      <c r="H122" s="309"/>
    </row>
    <row r="123" spans="1:10" ht="69.95" customHeight="1" x14ac:dyDescent="0.3">
      <c r="A123" s="221" t="s">
        <v>27</v>
      </c>
      <c r="B123" s="222"/>
      <c r="C123" s="222"/>
      <c r="E123" s="222"/>
      <c r="F123" s="173"/>
      <c r="G123" s="222"/>
      <c r="H123" s="222"/>
    </row>
    <row r="124" spans="1:10" ht="69.95" customHeight="1" x14ac:dyDescent="0.3">
      <c r="A124" s="221" t="s">
        <v>28</v>
      </c>
      <c r="B124" s="223"/>
      <c r="C124" s="223"/>
      <c r="E124" s="223"/>
      <c r="F124" s="173"/>
      <c r="G124" s="224"/>
      <c r="H124" s="224"/>
    </row>
    <row r="125" spans="1:10" ht="18.75" x14ac:dyDescent="0.3">
      <c r="A125" s="187"/>
      <c r="B125" s="187"/>
      <c r="C125" s="187"/>
      <c r="D125" s="187"/>
      <c r="E125" s="187"/>
      <c r="F125" s="170"/>
      <c r="G125" s="187"/>
      <c r="H125" s="187"/>
      <c r="I125" s="173"/>
    </row>
    <row r="126" spans="1:10" ht="18.75" x14ac:dyDescent="0.3">
      <c r="A126" s="187"/>
      <c r="B126" s="187"/>
      <c r="C126" s="187"/>
      <c r="D126" s="187"/>
      <c r="E126" s="187"/>
      <c r="F126" s="170"/>
      <c r="G126" s="187"/>
      <c r="H126" s="187"/>
      <c r="I126" s="173"/>
    </row>
    <row r="127" spans="1:10" ht="18.75" x14ac:dyDescent="0.3">
      <c r="A127" s="187"/>
      <c r="B127" s="187"/>
      <c r="C127" s="187"/>
      <c r="D127" s="187"/>
      <c r="E127" s="187"/>
      <c r="F127" s="170"/>
      <c r="G127" s="187"/>
      <c r="H127" s="187"/>
      <c r="I127" s="173"/>
    </row>
    <row r="128" spans="1:10" ht="18.75" x14ac:dyDescent="0.3">
      <c r="A128" s="187"/>
      <c r="B128" s="187"/>
      <c r="C128" s="187"/>
      <c r="D128" s="187"/>
      <c r="E128" s="187"/>
      <c r="F128" s="170"/>
      <c r="G128" s="187"/>
      <c r="H128" s="187"/>
      <c r="I128" s="173"/>
    </row>
    <row r="129" spans="1:9" ht="18.75" x14ac:dyDescent="0.3">
      <c r="A129" s="187"/>
      <c r="B129" s="187"/>
      <c r="C129" s="187"/>
      <c r="D129" s="187"/>
      <c r="E129" s="187"/>
      <c r="F129" s="170"/>
      <c r="G129" s="187"/>
      <c r="H129" s="187"/>
      <c r="I129" s="173"/>
    </row>
    <row r="130" spans="1:9" ht="18.75" x14ac:dyDescent="0.3">
      <c r="A130" s="187"/>
      <c r="B130" s="187"/>
      <c r="C130" s="187"/>
      <c r="D130" s="187"/>
      <c r="E130" s="187"/>
      <c r="F130" s="170"/>
      <c r="G130" s="187"/>
      <c r="H130" s="187"/>
      <c r="I130" s="173"/>
    </row>
    <row r="131" spans="1:9" ht="18.75" x14ac:dyDescent="0.3">
      <c r="A131" s="187"/>
      <c r="B131" s="187"/>
      <c r="C131" s="187"/>
      <c r="D131" s="187"/>
      <c r="E131" s="187"/>
      <c r="F131" s="170"/>
      <c r="G131" s="187"/>
      <c r="H131" s="187"/>
      <c r="I131" s="173"/>
    </row>
    <row r="132" spans="1:9" ht="18.75" x14ac:dyDescent="0.3">
      <c r="A132" s="187"/>
      <c r="B132" s="187"/>
      <c r="C132" s="187"/>
      <c r="D132" s="187"/>
      <c r="E132" s="187"/>
      <c r="F132" s="170"/>
      <c r="G132" s="187"/>
      <c r="H132" s="187"/>
      <c r="I132" s="173"/>
    </row>
    <row r="133" spans="1:9" ht="18.75" x14ac:dyDescent="0.3">
      <c r="A133" s="187"/>
      <c r="B133" s="187"/>
      <c r="C133" s="187"/>
      <c r="D133" s="187"/>
      <c r="E133" s="187"/>
      <c r="F133" s="170"/>
      <c r="G133" s="187"/>
      <c r="H133" s="187"/>
      <c r="I133" s="173"/>
    </row>
    <row r="250" spans="1:1" x14ac:dyDescent="0.25">
      <c r="A250" s="19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H118" sqref="H118"/>
    </sheetView>
  </sheetViews>
  <sheetFormatPr defaultColWidth="9.140625" defaultRowHeight="13.5" x14ac:dyDescent="0.25"/>
  <cols>
    <col min="1" max="1" width="55.42578125" style="190" customWidth="1"/>
    <col min="2" max="2" width="33.7109375" style="190" customWidth="1"/>
    <col min="3" max="3" width="42.28515625" style="190" customWidth="1"/>
    <col min="4" max="4" width="30.5703125" style="190" customWidth="1"/>
    <col min="5" max="5" width="39.85546875" style="190" customWidth="1"/>
    <col min="6" max="6" width="30.7109375" style="190" customWidth="1"/>
    <col min="7" max="7" width="39.85546875" style="190" customWidth="1"/>
    <col min="8" max="8" width="30" style="190" customWidth="1"/>
    <col min="9" max="9" width="30.28515625" style="190" hidden="1" customWidth="1"/>
    <col min="10" max="10" width="30.42578125" style="190" customWidth="1"/>
    <col min="11" max="11" width="21.28515625" style="190" customWidth="1"/>
    <col min="12" max="12" width="9.140625" style="190"/>
    <col min="13" max="16384" width="9.140625" style="31"/>
  </cols>
  <sheetData>
    <row r="1" spans="1:9" ht="18.75" customHeight="1" x14ac:dyDescent="0.25">
      <c r="A1" s="274" t="s">
        <v>43</v>
      </c>
      <c r="B1" s="274"/>
      <c r="C1" s="274"/>
      <c r="D1" s="274"/>
      <c r="E1" s="274"/>
      <c r="F1" s="274"/>
      <c r="G1" s="274"/>
      <c r="H1" s="274"/>
      <c r="I1" s="274"/>
    </row>
    <row r="2" spans="1:9" ht="18.75" customHeight="1" x14ac:dyDescent="0.25">
      <c r="A2" s="274"/>
      <c r="B2" s="274"/>
      <c r="C2" s="274"/>
      <c r="D2" s="274"/>
      <c r="E2" s="274"/>
      <c r="F2" s="274"/>
      <c r="G2" s="274"/>
      <c r="H2" s="274"/>
      <c r="I2" s="274"/>
    </row>
    <row r="3" spans="1:9" ht="18.75" customHeight="1" x14ac:dyDescent="0.25">
      <c r="A3" s="274"/>
      <c r="B3" s="274"/>
      <c r="C3" s="274"/>
      <c r="D3" s="274"/>
      <c r="E3" s="274"/>
      <c r="F3" s="274"/>
      <c r="G3" s="274"/>
      <c r="H3" s="274"/>
      <c r="I3" s="274"/>
    </row>
    <row r="4" spans="1:9" ht="18.75" customHeight="1" x14ac:dyDescent="0.25">
      <c r="A4" s="274"/>
      <c r="B4" s="274"/>
      <c r="C4" s="274"/>
      <c r="D4" s="274"/>
      <c r="E4" s="274"/>
      <c r="F4" s="274"/>
      <c r="G4" s="274"/>
      <c r="H4" s="274"/>
      <c r="I4" s="274"/>
    </row>
    <row r="5" spans="1:9" ht="18.75" customHeight="1" x14ac:dyDescent="0.25">
      <c r="A5" s="274"/>
      <c r="B5" s="274"/>
      <c r="C5" s="274"/>
      <c r="D5" s="274"/>
      <c r="E5" s="274"/>
      <c r="F5" s="274"/>
      <c r="G5" s="274"/>
      <c r="H5" s="274"/>
      <c r="I5" s="274"/>
    </row>
    <row r="6" spans="1:9" ht="18.75" customHeight="1" x14ac:dyDescent="0.25">
      <c r="A6" s="274"/>
      <c r="B6" s="274"/>
      <c r="C6" s="274"/>
      <c r="D6" s="274"/>
      <c r="E6" s="274"/>
      <c r="F6" s="274"/>
      <c r="G6" s="274"/>
      <c r="H6" s="274"/>
      <c r="I6" s="274"/>
    </row>
    <row r="7" spans="1:9" ht="18.75" customHeight="1" x14ac:dyDescent="0.25">
      <c r="A7" s="274"/>
      <c r="B7" s="274"/>
      <c r="C7" s="274"/>
      <c r="D7" s="274"/>
      <c r="E7" s="274"/>
      <c r="F7" s="274"/>
      <c r="G7" s="274"/>
      <c r="H7" s="274"/>
      <c r="I7" s="274"/>
    </row>
    <row r="8" spans="1:9" x14ac:dyDescent="0.25">
      <c r="A8" s="275" t="s">
        <v>44</v>
      </c>
      <c r="B8" s="275"/>
      <c r="C8" s="275"/>
      <c r="D8" s="275"/>
      <c r="E8" s="275"/>
      <c r="F8" s="275"/>
      <c r="G8" s="275"/>
      <c r="H8" s="275"/>
      <c r="I8" s="275"/>
    </row>
    <row r="9" spans="1:9" x14ac:dyDescent="0.25">
      <c r="A9" s="275"/>
      <c r="B9" s="275"/>
      <c r="C9" s="275"/>
      <c r="D9" s="275"/>
      <c r="E9" s="275"/>
      <c r="F9" s="275"/>
      <c r="G9" s="275"/>
      <c r="H9" s="275"/>
      <c r="I9" s="275"/>
    </row>
    <row r="10" spans="1:9" x14ac:dyDescent="0.25">
      <c r="A10" s="275"/>
      <c r="B10" s="275"/>
      <c r="C10" s="275"/>
      <c r="D10" s="275"/>
      <c r="E10" s="275"/>
      <c r="F10" s="275"/>
      <c r="G10" s="275"/>
      <c r="H10" s="275"/>
      <c r="I10" s="275"/>
    </row>
    <row r="11" spans="1:9" x14ac:dyDescent="0.25">
      <c r="A11" s="275"/>
      <c r="B11" s="275"/>
      <c r="C11" s="275"/>
      <c r="D11" s="275"/>
      <c r="E11" s="275"/>
      <c r="F11" s="275"/>
      <c r="G11" s="275"/>
      <c r="H11" s="275"/>
      <c r="I11" s="275"/>
    </row>
    <row r="12" spans="1:9" x14ac:dyDescent="0.25">
      <c r="A12" s="275"/>
      <c r="B12" s="275"/>
      <c r="C12" s="275"/>
      <c r="D12" s="275"/>
      <c r="E12" s="275"/>
      <c r="F12" s="275"/>
      <c r="G12" s="275"/>
      <c r="H12" s="275"/>
      <c r="I12" s="275"/>
    </row>
    <row r="13" spans="1:9" x14ac:dyDescent="0.25">
      <c r="A13" s="275"/>
      <c r="B13" s="275"/>
      <c r="C13" s="275"/>
      <c r="D13" s="275"/>
      <c r="E13" s="275"/>
      <c r="F13" s="275"/>
      <c r="G13" s="275"/>
      <c r="H13" s="275"/>
      <c r="I13" s="275"/>
    </row>
    <row r="14" spans="1:9" x14ac:dyDescent="0.25">
      <c r="A14" s="275"/>
      <c r="B14" s="275"/>
      <c r="C14" s="275"/>
      <c r="D14" s="275"/>
      <c r="E14" s="275"/>
      <c r="F14" s="275"/>
      <c r="G14" s="275"/>
      <c r="H14" s="275"/>
      <c r="I14" s="275"/>
    </row>
    <row r="15" spans="1:9" ht="19.5" customHeight="1" thickBot="1" x14ac:dyDescent="0.35">
      <c r="A15" s="173"/>
    </row>
    <row r="16" spans="1:9" ht="19.5" customHeight="1" thickBot="1" x14ac:dyDescent="0.35">
      <c r="A16" s="276" t="s">
        <v>29</v>
      </c>
      <c r="B16" s="277"/>
      <c r="C16" s="277"/>
      <c r="D16" s="277"/>
      <c r="E16" s="277"/>
      <c r="F16" s="277"/>
      <c r="G16" s="277"/>
      <c r="H16" s="278"/>
    </row>
    <row r="17" spans="1:14" ht="20.25" customHeight="1" x14ac:dyDescent="0.25">
      <c r="A17" s="279" t="s">
        <v>45</v>
      </c>
      <c r="B17" s="279"/>
      <c r="C17" s="279"/>
      <c r="D17" s="279"/>
      <c r="E17" s="279"/>
      <c r="F17" s="279"/>
      <c r="G17" s="279"/>
      <c r="H17" s="279"/>
    </row>
    <row r="18" spans="1:14" ht="26.25" customHeight="1" x14ac:dyDescent="0.4">
      <c r="A18" s="83" t="s">
        <v>31</v>
      </c>
      <c r="B18" s="280" t="s">
        <v>4</v>
      </c>
      <c r="C18" s="280"/>
      <c r="D18" s="226"/>
      <c r="E18" s="84"/>
      <c r="F18" s="239"/>
      <c r="G18" s="239"/>
      <c r="H18" s="239"/>
    </row>
    <row r="19" spans="1:14" ht="26.25" customHeight="1" x14ac:dyDescent="0.4">
      <c r="A19" s="83" t="s">
        <v>32</v>
      </c>
      <c r="B19" s="248" t="s">
        <v>6</v>
      </c>
      <c r="C19" s="239">
        <v>29</v>
      </c>
      <c r="D19" s="239"/>
      <c r="E19" s="239"/>
      <c r="F19" s="239"/>
      <c r="G19" s="239"/>
      <c r="H19" s="239"/>
    </row>
    <row r="20" spans="1:14" ht="26.25" customHeight="1" x14ac:dyDescent="0.4">
      <c r="A20" s="83" t="s">
        <v>33</v>
      </c>
      <c r="B20" s="281" t="s">
        <v>8</v>
      </c>
      <c r="C20" s="281"/>
      <c r="D20" s="239"/>
      <c r="E20" s="239"/>
      <c r="F20" s="239"/>
      <c r="G20" s="239"/>
      <c r="H20" s="239"/>
    </row>
    <row r="21" spans="1:14" ht="26.25" customHeight="1" x14ac:dyDescent="0.4">
      <c r="A21" s="83" t="s">
        <v>34</v>
      </c>
      <c r="B21" s="281" t="s">
        <v>10</v>
      </c>
      <c r="C21" s="281"/>
      <c r="D21" s="281"/>
      <c r="E21" s="281"/>
      <c r="F21" s="281"/>
      <c r="G21" s="281"/>
      <c r="H21" s="281"/>
      <c r="I21" s="85"/>
    </row>
    <row r="22" spans="1:14" ht="26.25" customHeight="1" x14ac:dyDescent="0.4">
      <c r="A22" s="83" t="s">
        <v>35</v>
      </c>
      <c r="B22" s="86" t="s">
        <v>11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83" t="s">
        <v>36</v>
      </c>
      <c r="B23" s="86"/>
      <c r="C23" s="239"/>
      <c r="D23" s="239"/>
      <c r="E23" s="239"/>
      <c r="F23" s="239"/>
      <c r="G23" s="239"/>
      <c r="H23" s="239"/>
    </row>
    <row r="24" spans="1:14" ht="18.75" x14ac:dyDescent="0.3">
      <c r="A24" s="83"/>
      <c r="B24" s="87"/>
    </row>
    <row r="25" spans="1:14" ht="18.75" x14ac:dyDescent="0.3">
      <c r="A25" s="88" t="s">
        <v>1</v>
      </c>
      <c r="B25" s="87"/>
    </row>
    <row r="26" spans="1:14" ht="26.25" customHeight="1" x14ac:dyDescent="0.4">
      <c r="A26" s="221" t="s">
        <v>3</v>
      </c>
      <c r="B26" s="280"/>
      <c r="C26" s="280"/>
    </row>
    <row r="27" spans="1:14" ht="26.25" customHeight="1" x14ac:dyDescent="0.4">
      <c r="A27" s="179" t="s">
        <v>46</v>
      </c>
      <c r="B27" s="282"/>
      <c r="C27" s="282"/>
    </row>
    <row r="28" spans="1:14" ht="27" customHeight="1" thickBot="1" x14ac:dyDescent="0.45">
      <c r="A28" s="179" t="s">
        <v>5</v>
      </c>
      <c r="B28" s="175">
        <v>96.4</v>
      </c>
    </row>
    <row r="29" spans="1:14" s="8" customFormat="1" ht="27" customHeight="1" thickBot="1" x14ac:dyDescent="0.45">
      <c r="A29" s="179" t="s">
        <v>47</v>
      </c>
      <c r="B29" s="89"/>
      <c r="C29" s="283" t="s">
        <v>48</v>
      </c>
      <c r="D29" s="284"/>
      <c r="E29" s="284"/>
      <c r="F29" s="284"/>
      <c r="G29" s="285"/>
      <c r="I29" s="90"/>
      <c r="J29" s="90"/>
      <c r="K29" s="90"/>
      <c r="L29" s="90"/>
    </row>
    <row r="30" spans="1:14" s="8" customFormat="1" ht="19.5" customHeight="1" thickBot="1" x14ac:dyDescent="0.35">
      <c r="A30" s="179" t="s">
        <v>49</v>
      </c>
      <c r="B30" s="251">
        <f>B28-B29</f>
        <v>96.4</v>
      </c>
      <c r="C30" s="91"/>
      <c r="D30" s="91"/>
      <c r="E30" s="91"/>
      <c r="F30" s="91"/>
      <c r="G30" s="92"/>
      <c r="I30" s="90"/>
      <c r="J30" s="90"/>
      <c r="K30" s="90"/>
      <c r="L30" s="90"/>
    </row>
    <row r="31" spans="1:14" s="8" customFormat="1" ht="27" customHeight="1" thickBot="1" x14ac:dyDescent="0.45">
      <c r="A31" s="179" t="s">
        <v>50</v>
      </c>
      <c r="B31" s="93">
        <v>1</v>
      </c>
      <c r="C31" s="271" t="s">
        <v>51</v>
      </c>
      <c r="D31" s="272"/>
      <c r="E31" s="272"/>
      <c r="F31" s="272"/>
      <c r="G31" s="272"/>
      <c r="H31" s="273"/>
      <c r="I31" s="90"/>
      <c r="J31" s="90"/>
      <c r="K31" s="90"/>
      <c r="L31" s="90"/>
    </row>
    <row r="32" spans="1:14" s="8" customFormat="1" ht="27" customHeight="1" thickBot="1" x14ac:dyDescent="0.45">
      <c r="A32" s="179" t="s">
        <v>52</v>
      </c>
      <c r="B32" s="93">
        <v>1</v>
      </c>
      <c r="C32" s="271" t="s">
        <v>53</v>
      </c>
      <c r="D32" s="272"/>
      <c r="E32" s="272"/>
      <c r="F32" s="272"/>
      <c r="G32" s="272"/>
      <c r="H32" s="273"/>
      <c r="I32" s="90"/>
      <c r="J32" s="90"/>
      <c r="K32" s="90"/>
      <c r="L32" s="94"/>
      <c r="M32" s="94"/>
      <c r="N32" s="95"/>
    </row>
    <row r="33" spans="1:14" s="8" customFormat="1" ht="17.25" customHeight="1" x14ac:dyDescent="0.3">
      <c r="A33" s="179"/>
      <c r="B33" s="96"/>
      <c r="C33" s="97"/>
      <c r="D33" s="97"/>
      <c r="E33" s="97"/>
      <c r="F33" s="97"/>
      <c r="G33" s="97"/>
      <c r="H33" s="97"/>
      <c r="I33" s="90"/>
      <c r="J33" s="90"/>
      <c r="K33" s="90"/>
      <c r="L33" s="94"/>
      <c r="M33" s="94"/>
      <c r="N33" s="95"/>
    </row>
    <row r="34" spans="1:14" s="8" customFormat="1" ht="18.75" x14ac:dyDescent="0.3">
      <c r="A34" s="179" t="s">
        <v>54</v>
      </c>
      <c r="B34" s="98">
        <f>B31/B32</f>
        <v>1</v>
      </c>
      <c r="C34" s="173" t="s">
        <v>55</v>
      </c>
      <c r="D34" s="173"/>
      <c r="E34" s="173"/>
      <c r="F34" s="173"/>
      <c r="G34" s="173"/>
      <c r="I34" s="90"/>
      <c r="J34" s="90"/>
      <c r="K34" s="90"/>
      <c r="L34" s="94"/>
      <c r="M34" s="94"/>
      <c r="N34" s="95"/>
    </row>
    <row r="35" spans="1:14" s="8" customFormat="1" ht="19.5" customHeight="1" thickBot="1" x14ac:dyDescent="0.35">
      <c r="A35" s="179"/>
      <c r="B35" s="251"/>
      <c r="G35" s="173"/>
      <c r="I35" s="90"/>
      <c r="J35" s="90"/>
      <c r="K35" s="90"/>
      <c r="L35" s="94"/>
      <c r="M35" s="94"/>
      <c r="N35" s="95"/>
    </row>
    <row r="36" spans="1:14" s="8" customFormat="1" ht="27" customHeight="1" thickBot="1" x14ac:dyDescent="0.45">
      <c r="A36" s="99" t="s">
        <v>56</v>
      </c>
      <c r="B36" s="100">
        <v>10</v>
      </c>
      <c r="C36" s="173"/>
      <c r="D36" s="286" t="s">
        <v>57</v>
      </c>
      <c r="E36" s="287"/>
      <c r="F36" s="286" t="s">
        <v>58</v>
      </c>
      <c r="G36" s="288"/>
      <c r="J36" s="90"/>
      <c r="K36" s="90"/>
      <c r="L36" s="94"/>
      <c r="M36" s="94"/>
      <c r="N36" s="95"/>
    </row>
    <row r="37" spans="1:14" s="8" customFormat="1" ht="27" customHeight="1" thickBot="1" x14ac:dyDescent="0.45">
      <c r="A37" s="101" t="s">
        <v>59</v>
      </c>
      <c r="B37" s="102">
        <v>3</v>
      </c>
      <c r="C37" s="103" t="s">
        <v>60</v>
      </c>
      <c r="D37" s="104" t="s">
        <v>61</v>
      </c>
      <c r="E37" s="105" t="s">
        <v>62</v>
      </c>
      <c r="F37" s="104" t="s">
        <v>61</v>
      </c>
      <c r="G37" s="106" t="s">
        <v>62</v>
      </c>
      <c r="I37" s="107" t="s">
        <v>63</v>
      </c>
      <c r="J37" s="90"/>
      <c r="K37" s="90"/>
      <c r="L37" s="94"/>
      <c r="M37" s="94"/>
      <c r="N37" s="95"/>
    </row>
    <row r="38" spans="1:14" s="8" customFormat="1" ht="26.25" customHeight="1" x14ac:dyDescent="0.4">
      <c r="A38" s="101" t="s">
        <v>64</v>
      </c>
      <c r="B38" s="102">
        <v>20</v>
      </c>
      <c r="C38" s="108">
        <v>1</v>
      </c>
      <c r="D38" s="109">
        <v>82328986</v>
      </c>
      <c r="E38" s="110">
        <f>IF(ISBLANK(D38),"-",$D$48/$D$45*D38)</f>
        <v>69452661.874162465</v>
      </c>
      <c r="F38" s="109">
        <v>99606490</v>
      </c>
      <c r="G38" s="111">
        <f>IF(ISBLANK(F38),"-",$D$48/$F$45*F38)</f>
        <v>70171187.64557372</v>
      </c>
      <c r="I38" s="112"/>
      <c r="J38" s="90"/>
      <c r="K38" s="90"/>
      <c r="L38" s="94"/>
      <c r="M38" s="94"/>
      <c r="N38" s="95"/>
    </row>
    <row r="39" spans="1:14" s="8" customFormat="1" ht="26.25" customHeight="1" x14ac:dyDescent="0.4">
      <c r="A39" s="101" t="s">
        <v>65</v>
      </c>
      <c r="B39" s="102">
        <v>1</v>
      </c>
      <c r="C39" s="130">
        <v>2</v>
      </c>
      <c r="D39" s="113">
        <v>82385629</v>
      </c>
      <c r="E39" s="114">
        <f>IF(ISBLANK(D39),"-",$D$48/$D$45*D39)</f>
        <v>69500445.860309675</v>
      </c>
      <c r="F39" s="113">
        <v>99551481</v>
      </c>
      <c r="G39" s="115">
        <f>IF(ISBLANK(F39),"-",$D$48/$F$45*F39)</f>
        <v>70132434.680167601</v>
      </c>
      <c r="I39" s="289">
        <f>ABS((F43/D43*D42)-F42)/D42</f>
        <v>1.0952369803823813E-2</v>
      </c>
      <c r="J39" s="90"/>
      <c r="K39" s="90"/>
      <c r="L39" s="94"/>
      <c r="M39" s="94"/>
      <c r="N39" s="95"/>
    </row>
    <row r="40" spans="1:14" ht="26.25" customHeight="1" x14ac:dyDescent="0.4">
      <c r="A40" s="101" t="s">
        <v>66</v>
      </c>
      <c r="B40" s="102">
        <v>1</v>
      </c>
      <c r="C40" s="130">
        <v>3</v>
      </c>
      <c r="D40" s="113">
        <v>82329861</v>
      </c>
      <c r="E40" s="114">
        <f>IF(ISBLANK(D40),"-",$D$48/$D$45*D40)</f>
        <v>69453400.023410901</v>
      </c>
      <c r="F40" s="113">
        <v>99376302</v>
      </c>
      <c r="G40" s="115">
        <f>IF(ISBLANK(F40),"-",$D$48/$F$45*F40)</f>
        <v>70009023.861449212</v>
      </c>
      <c r="I40" s="289"/>
      <c r="L40" s="94"/>
      <c r="M40" s="94"/>
      <c r="N40" s="173"/>
    </row>
    <row r="41" spans="1:14" ht="27" customHeight="1" thickBot="1" x14ac:dyDescent="0.45">
      <c r="A41" s="101" t="s">
        <v>67</v>
      </c>
      <c r="B41" s="102">
        <v>1</v>
      </c>
      <c r="C41" s="116">
        <v>4</v>
      </c>
      <c r="D41" s="117"/>
      <c r="E41" s="118" t="str">
        <f>IF(ISBLANK(D41),"-",$D$48/$D$45*D41)</f>
        <v>-</v>
      </c>
      <c r="F41" s="117"/>
      <c r="G41" s="119" t="str">
        <f>IF(ISBLANK(F41),"-",$D$48/$F$45*F41)</f>
        <v>-</v>
      </c>
      <c r="I41" s="120"/>
      <c r="L41" s="94"/>
      <c r="M41" s="94"/>
      <c r="N41" s="173"/>
    </row>
    <row r="42" spans="1:14" ht="27" customHeight="1" thickBot="1" x14ac:dyDescent="0.45">
      <c r="A42" s="101" t="s">
        <v>68</v>
      </c>
      <c r="B42" s="102">
        <v>1</v>
      </c>
      <c r="C42" s="121" t="s">
        <v>69</v>
      </c>
      <c r="D42" s="122">
        <f>AVERAGE(D38:D41)</f>
        <v>82348158.666666672</v>
      </c>
      <c r="E42" s="123">
        <f>AVERAGE(E38:E41)</f>
        <v>69468835.919294357</v>
      </c>
      <c r="F42" s="122">
        <f>AVERAGE(F38:F41)</f>
        <v>99511424.333333328</v>
      </c>
      <c r="G42" s="124">
        <f>AVERAGE(G38:G41)</f>
        <v>70104215.395730183</v>
      </c>
      <c r="H42" s="125"/>
    </row>
    <row r="43" spans="1:14" ht="26.25" customHeight="1" x14ac:dyDescent="0.4">
      <c r="A43" s="101" t="s">
        <v>70</v>
      </c>
      <c r="B43" s="102">
        <v>1</v>
      </c>
      <c r="C43" s="126" t="s">
        <v>71</v>
      </c>
      <c r="D43" s="127">
        <v>10.28</v>
      </c>
      <c r="E43" s="173"/>
      <c r="F43" s="127">
        <v>12.31</v>
      </c>
      <c r="H43" s="125"/>
    </row>
    <row r="44" spans="1:14" ht="26.25" customHeight="1" x14ac:dyDescent="0.4">
      <c r="A44" s="101" t="s">
        <v>72</v>
      </c>
      <c r="B44" s="102">
        <v>1</v>
      </c>
      <c r="C44" s="128" t="s">
        <v>73</v>
      </c>
      <c r="D44" s="129">
        <f>D43*$B$34</f>
        <v>10.28</v>
      </c>
      <c r="E44" s="187"/>
      <c r="F44" s="129">
        <f>F43*$B$34</f>
        <v>12.31</v>
      </c>
      <c r="H44" s="125"/>
    </row>
    <row r="45" spans="1:14" ht="19.5" customHeight="1" thickBot="1" x14ac:dyDescent="0.35">
      <c r="A45" s="101" t="s">
        <v>74</v>
      </c>
      <c r="B45" s="130">
        <f>(B44/B43)*(B42/B41)*(B40/B39)*(B38/B37)*B36</f>
        <v>66.666666666666671</v>
      </c>
      <c r="C45" s="128" t="s">
        <v>75</v>
      </c>
      <c r="D45" s="131">
        <f>D44*$B$30/100</f>
        <v>9.9099199999999996</v>
      </c>
      <c r="E45" s="170"/>
      <c r="F45" s="131">
        <f>F44*$B$30/100</f>
        <v>11.866840000000002</v>
      </c>
      <c r="H45" s="125"/>
    </row>
    <row r="46" spans="1:14" ht="19.5" customHeight="1" thickBot="1" x14ac:dyDescent="0.35">
      <c r="A46" s="290" t="s">
        <v>76</v>
      </c>
      <c r="B46" s="291"/>
      <c r="C46" s="128" t="s">
        <v>77</v>
      </c>
      <c r="D46" s="132">
        <f>D45/$B$45</f>
        <v>0.14864879999999997</v>
      </c>
      <c r="E46" s="133"/>
      <c r="F46" s="134">
        <f>F45/$B$45</f>
        <v>0.17800260000000001</v>
      </c>
      <c r="H46" s="125"/>
    </row>
    <row r="47" spans="1:14" ht="27" customHeight="1" thickBot="1" x14ac:dyDescent="0.45">
      <c r="A47" s="292"/>
      <c r="B47" s="293"/>
      <c r="C47" s="135" t="s">
        <v>78</v>
      </c>
      <c r="D47" s="136">
        <v>0.12540000000000001</v>
      </c>
      <c r="E47" s="137"/>
      <c r="F47" s="133"/>
      <c r="H47" s="125"/>
    </row>
    <row r="48" spans="1:14" ht="18.75" x14ac:dyDescent="0.3">
      <c r="C48" s="138" t="s">
        <v>79</v>
      </c>
      <c r="D48" s="131">
        <f>D47*$B$45</f>
        <v>8.3600000000000012</v>
      </c>
      <c r="F48" s="139"/>
      <c r="H48" s="125"/>
    </row>
    <row r="49" spans="1:12" ht="19.5" customHeight="1" thickBot="1" x14ac:dyDescent="0.35">
      <c r="C49" s="140" t="s">
        <v>80</v>
      </c>
      <c r="D49" s="141">
        <f>D48/B34</f>
        <v>8.3600000000000012</v>
      </c>
      <c r="F49" s="139"/>
      <c r="H49" s="125"/>
    </row>
    <row r="50" spans="1:12" ht="18.75" x14ac:dyDescent="0.3">
      <c r="C50" s="99" t="s">
        <v>81</v>
      </c>
      <c r="D50" s="142">
        <f>AVERAGE(E38:E41,G38:G41)</f>
        <v>69786525.657512262</v>
      </c>
      <c r="F50" s="143"/>
      <c r="H50" s="125"/>
    </row>
    <row r="51" spans="1:12" ht="18.75" x14ac:dyDescent="0.3">
      <c r="C51" s="101" t="s">
        <v>82</v>
      </c>
      <c r="D51" s="144">
        <f>STDEV(E38:E41,G38:G41)/D50</f>
        <v>5.0516120743625071E-3</v>
      </c>
      <c r="F51" s="143"/>
      <c r="H51" s="125"/>
    </row>
    <row r="52" spans="1:12" ht="19.5" customHeight="1" thickBot="1" x14ac:dyDescent="0.35">
      <c r="C52" s="145" t="s">
        <v>19</v>
      </c>
      <c r="D52" s="146">
        <f>COUNT(E38:E41,G38:G41)</f>
        <v>6</v>
      </c>
      <c r="F52" s="143"/>
    </row>
    <row r="54" spans="1:12" ht="18.75" x14ac:dyDescent="0.3">
      <c r="A54" s="147" t="s">
        <v>1</v>
      </c>
      <c r="B54" s="148" t="s">
        <v>83</v>
      </c>
    </row>
    <row r="55" spans="1:12" ht="18.75" x14ac:dyDescent="0.3">
      <c r="A55" s="173" t="s">
        <v>84</v>
      </c>
      <c r="B55" s="149" t="str">
        <f>B21</f>
        <v>Each film coated tablet contains Amoxicillin Trihydrate Ph. Eur. eq to amoxicillin 500 mg, Clavualnate Potassium Ph. Eur. eq to Clavulanic acid 125 mg</v>
      </c>
    </row>
    <row r="56" spans="1:12" ht="26.25" customHeight="1" x14ac:dyDescent="0.4">
      <c r="A56" s="149" t="s">
        <v>85</v>
      </c>
      <c r="B56" s="150">
        <v>125</v>
      </c>
      <c r="C56" s="173" t="str">
        <f>B20</f>
        <v>AMOXICILLIN 500MG</v>
      </c>
      <c r="H56" s="187"/>
    </row>
    <row r="57" spans="1:12" ht="18.75" x14ac:dyDescent="0.3">
      <c r="A57" s="149" t="s">
        <v>86</v>
      </c>
      <c r="B57" s="227">
        <f>Uniformity!C46</f>
        <v>1202.4384999999997</v>
      </c>
      <c r="H57" s="187"/>
    </row>
    <row r="58" spans="1:12" ht="19.5" customHeight="1" thickBot="1" x14ac:dyDescent="0.35">
      <c r="H58" s="187"/>
    </row>
    <row r="59" spans="1:12" s="8" customFormat="1" ht="27" customHeight="1" thickBot="1" x14ac:dyDescent="0.45">
      <c r="A59" s="99" t="s">
        <v>87</v>
      </c>
      <c r="B59" s="100">
        <v>100</v>
      </c>
      <c r="C59" s="173"/>
      <c r="D59" s="151" t="s">
        <v>88</v>
      </c>
      <c r="E59" s="152" t="s">
        <v>60</v>
      </c>
      <c r="F59" s="152" t="s">
        <v>61</v>
      </c>
      <c r="G59" s="152" t="s">
        <v>89</v>
      </c>
      <c r="H59" s="103" t="s">
        <v>90</v>
      </c>
      <c r="L59" s="90"/>
    </row>
    <row r="60" spans="1:12" s="8" customFormat="1" ht="26.25" customHeight="1" x14ac:dyDescent="0.4">
      <c r="A60" s="101" t="s">
        <v>91</v>
      </c>
      <c r="B60" s="102">
        <v>1</v>
      </c>
      <c r="C60" s="294" t="s">
        <v>92</v>
      </c>
      <c r="D60" s="297">
        <v>140.41</v>
      </c>
      <c r="E60" s="153">
        <v>1</v>
      </c>
      <c r="F60" s="154">
        <v>82333161</v>
      </c>
      <c r="G60" s="228">
        <f>IF(ISBLANK(F60),"-",(F60/$D$50*$D$47*$B$68)*($B$57/$D$60))</f>
        <v>126.69678145987439</v>
      </c>
      <c r="H60" s="255">
        <f>IF(ISBLANK(F60),"-",G60/$B$56)</f>
        <v>1.0135742516789952</v>
      </c>
      <c r="I60" s="254"/>
      <c r="L60" s="90"/>
    </row>
    <row r="61" spans="1:12" s="8" customFormat="1" ht="26.25" customHeight="1" x14ac:dyDescent="0.4">
      <c r="A61" s="101" t="s">
        <v>93</v>
      </c>
      <c r="B61" s="102">
        <v>1</v>
      </c>
      <c r="C61" s="295"/>
      <c r="D61" s="298"/>
      <c r="E61" s="156">
        <v>2</v>
      </c>
      <c r="F61" s="113">
        <v>82343878</v>
      </c>
      <c r="G61" s="229">
        <f>IF(ISBLANK(F61),"-",(F61/$D$50*$D$47*$B$68)*($B$57/$D$60))</f>
        <v>126.71327310662298</v>
      </c>
      <c r="H61" s="256">
        <f t="shared" ref="H61:H71" si="0">IF(ISBLANK(F61),"-",G61/$B$56)</f>
        <v>1.0137061848529838</v>
      </c>
      <c r="I61" s="254"/>
      <c r="L61" s="90"/>
    </row>
    <row r="62" spans="1:12" s="8" customFormat="1" ht="26.25" customHeight="1" x14ac:dyDescent="0.4">
      <c r="A62" s="101" t="s">
        <v>94</v>
      </c>
      <c r="B62" s="102">
        <v>1</v>
      </c>
      <c r="C62" s="295"/>
      <c r="D62" s="298"/>
      <c r="E62" s="156">
        <v>3</v>
      </c>
      <c r="F62" s="158">
        <v>82230050</v>
      </c>
      <c r="G62" s="229">
        <f>IF(ISBLANK(F62),"-",(F62/$D$50*$D$47*$B$68)*($B$57/$D$60))</f>
        <v>126.53811110549422</v>
      </c>
      <c r="H62" s="256">
        <f t="shared" si="0"/>
        <v>1.0123048888439539</v>
      </c>
      <c r="I62" s="254"/>
      <c r="L62" s="90"/>
    </row>
    <row r="63" spans="1:12" ht="27" customHeight="1" thickBot="1" x14ac:dyDescent="0.45">
      <c r="A63" s="101" t="s">
        <v>95</v>
      </c>
      <c r="B63" s="102">
        <v>1</v>
      </c>
      <c r="C63" s="296"/>
      <c r="D63" s="299"/>
      <c r="E63" s="159">
        <v>4</v>
      </c>
      <c r="F63" s="160"/>
      <c r="G63" s="229"/>
      <c r="H63" s="257" t="str">
        <f t="shared" si="0"/>
        <v>-</v>
      </c>
    </row>
    <row r="64" spans="1:12" ht="26.25" customHeight="1" x14ac:dyDescent="0.4">
      <c r="A64" s="101" t="s">
        <v>96</v>
      </c>
      <c r="B64" s="102">
        <v>1</v>
      </c>
      <c r="C64" s="294" t="s">
        <v>97</v>
      </c>
      <c r="D64" s="297">
        <v>154.19</v>
      </c>
      <c r="E64" s="153">
        <v>1</v>
      </c>
      <c r="F64" s="154">
        <v>89884047</v>
      </c>
      <c r="G64" s="228">
        <f>IF(ISBLANK(F64),"-",(F64/$D$50*$D$47*$B$68)*($B$57/$D$64))</f>
        <v>125.95495062151819</v>
      </c>
      <c r="H64" s="255">
        <f t="shared" si="0"/>
        <v>1.0076396049721454</v>
      </c>
    </row>
    <row r="65" spans="1:8" ht="26.25" customHeight="1" x14ac:dyDescent="0.4">
      <c r="A65" s="101" t="s">
        <v>98</v>
      </c>
      <c r="B65" s="102">
        <v>1</v>
      </c>
      <c r="C65" s="295"/>
      <c r="D65" s="298"/>
      <c r="E65" s="156">
        <v>2</v>
      </c>
      <c r="F65" s="113">
        <v>89739853</v>
      </c>
      <c r="G65" s="229">
        <f>IF(ISBLANK(F65),"-",(F65/$D$50*$D$47*$B$68)*($B$57/$D$64))</f>
        <v>125.75289087058243</v>
      </c>
      <c r="H65" s="256">
        <f t="shared" si="0"/>
        <v>1.0060231269646596</v>
      </c>
    </row>
    <row r="66" spans="1:8" ht="26.25" customHeight="1" x14ac:dyDescent="0.4">
      <c r="A66" s="101" t="s">
        <v>99</v>
      </c>
      <c r="B66" s="102">
        <v>1</v>
      </c>
      <c r="C66" s="295"/>
      <c r="D66" s="298"/>
      <c r="E66" s="156">
        <v>3</v>
      </c>
      <c r="F66" s="113">
        <v>89647445</v>
      </c>
      <c r="G66" s="229">
        <f>IF(ISBLANK(F66),"-",(F66/$D$50*$D$47*$B$68)*($B$57/$D$64))</f>
        <v>125.62339909239144</v>
      </c>
      <c r="H66" s="256">
        <f t="shared" si="0"/>
        <v>1.0049871927391314</v>
      </c>
    </row>
    <row r="67" spans="1:8" ht="27" customHeight="1" thickBot="1" x14ac:dyDescent="0.45">
      <c r="A67" s="101" t="s">
        <v>100</v>
      </c>
      <c r="B67" s="102">
        <v>1</v>
      </c>
      <c r="C67" s="296"/>
      <c r="D67" s="299"/>
      <c r="E67" s="159">
        <v>4</v>
      </c>
      <c r="F67" s="160"/>
      <c r="G67" s="258"/>
      <c r="H67" s="257" t="str">
        <f t="shared" si="0"/>
        <v>-</v>
      </c>
    </row>
    <row r="68" spans="1:8" ht="26.25" customHeight="1" x14ac:dyDescent="0.4">
      <c r="A68" s="101" t="s">
        <v>101</v>
      </c>
      <c r="B68" s="164">
        <f>(B67/B66)*(B65/B64)*(B63/B62)*(B61/B60)*B59</f>
        <v>100</v>
      </c>
      <c r="C68" s="294" t="s">
        <v>102</v>
      </c>
      <c r="D68" s="297">
        <v>166.97</v>
      </c>
      <c r="E68" s="153">
        <v>1</v>
      </c>
      <c r="F68" s="154">
        <v>100411543</v>
      </c>
      <c r="G68" s="228">
        <f>IF(ISBLANK(F68),"-",(F68/$D$50*$D$47*$B$68)*($B$57/$D$68))</f>
        <v>129.93735616418726</v>
      </c>
      <c r="H68" s="255">
        <f t="shared" si="0"/>
        <v>1.039498849313498</v>
      </c>
    </row>
    <row r="69" spans="1:8" ht="27" customHeight="1" thickBot="1" x14ac:dyDescent="0.45">
      <c r="A69" s="145" t="s">
        <v>103</v>
      </c>
      <c r="B69" s="165">
        <f>(D47*B68)/B56*B57</f>
        <v>120.62863031999998</v>
      </c>
      <c r="C69" s="295"/>
      <c r="D69" s="298"/>
      <c r="E69" s="156">
        <v>2</v>
      </c>
      <c r="F69" s="113">
        <v>100349302</v>
      </c>
      <c r="G69" s="229">
        <f>IF(ISBLANK(F69),"-",(F69/$D$50*$D$47*$B$68)*($B$57/$D$68))</f>
        <v>129.85681332276297</v>
      </c>
      <c r="H69" s="256">
        <f t="shared" si="0"/>
        <v>1.0388545065821038</v>
      </c>
    </row>
    <row r="70" spans="1:8" ht="26.25" customHeight="1" x14ac:dyDescent="0.4">
      <c r="A70" s="302" t="s">
        <v>76</v>
      </c>
      <c r="B70" s="303"/>
      <c r="C70" s="295"/>
      <c r="D70" s="298"/>
      <c r="E70" s="156">
        <v>3</v>
      </c>
      <c r="F70" s="113">
        <v>100346485</v>
      </c>
      <c r="G70" s="229">
        <f>IF(ISBLANK(F70),"-",(F70/$D$50*$D$47*$B$68)*($B$57/$D$68))</f>
        <v>129.85316798955347</v>
      </c>
      <c r="H70" s="256">
        <f t="shared" si="0"/>
        <v>1.0388253439164277</v>
      </c>
    </row>
    <row r="71" spans="1:8" ht="27" customHeight="1" thickBot="1" x14ac:dyDescent="0.45">
      <c r="A71" s="304"/>
      <c r="B71" s="305"/>
      <c r="C71" s="300"/>
      <c r="D71" s="299"/>
      <c r="E71" s="159">
        <v>4</v>
      </c>
      <c r="F71" s="160"/>
      <c r="G71" s="258" t="str">
        <f>IF(ISBLANK(F71),"-",(F71/$D$50*$D$47*$B$68)*($B$57/$D$68))</f>
        <v>-</v>
      </c>
      <c r="H71" s="257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67" t="s">
        <v>69</v>
      </c>
      <c r="G72" s="237">
        <f>AVERAGE(G60:G71)</f>
        <v>127.4363048592208</v>
      </c>
      <c r="H72" s="168">
        <f>AVERAGE(H60:H71)</f>
        <v>1.0194904388737662</v>
      </c>
    </row>
    <row r="73" spans="1:8" ht="26.25" customHeight="1" x14ac:dyDescent="0.4">
      <c r="C73" s="187"/>
      <c r="D73" s="187"/>
      <c r="E73" s="187"/>
      <c r="F73" s="169" t="s">
        <v>82</v>
      </c>
      <c r="G73" s="233">
        <f>STDEV(G60:G71)/G72</f>
        <v>1.4718904546671085E-2</v>
      </c>
      <c r="H73" s="233">
        <f>STDEV(H60:H71)/H72</f>
        <v>1.4718904546671055E-2</v>
      </c>
    </row>
    <row r="74" spans="1:8" ht="27" customHeight="1" thickBot="1" x14ac:dyDescent="0.45">
      <c r="A74" s="187"/>
      <c r="B74" s="187"/>
      <c r="C74" s="187"/>
      <c r="D74" s="187"/>
      <c r="E74" s="170"/>
      <c r="F74" s="171" t="s">
        <v>19</v>
      </c>
      <c r="G74" s="172">
        <f>COUNT(G60:G71)</f>
        <v>9</v>
      </c>
      <c r="H74" s="172">
        <f>COUNT(H60:H71)</f>
        <v>9</v>
      </c>
    </row>
    <row r="76" spans="1:8" ht="26.25" customHeight="1" x14ac:dyDescent="0.4">
      <c r="A76" s="221" t="s">
        <v>104</v>
      </c>
      <c r="B76" s="179" t="s">
        <v>105</v>
      </c>
      <c r="C76" s="306" t="str">
        <f>B20</f>
        <v>AMOXICILLIN 500MG</v>
      </c>
      <c r="D76" s="306"/>
      <c r="E76" s="173" t="s">
        <v>106</v>
      </c>
      <c r="F76" s="173"/>
      <c r="G76" s="174">
        <f>H72</f>
        <v>1.0194904388737662</v>
      </c>
      <c r="H76" s="251"/>
    </row>
    <row r="77" spans="1:8" ht="33.75" x14ac:dyDescent="0.5">
      <c r="A77" s="88" t="s">
        <v>107</v>
      </c>
      <c r="B77" s="88" t="s">
        <v>108</v>
      </c>
      <c r="D77" s="259" t="s">
        <v>128</v>
      </c>
    </row>
    <row r="78" spans="1:8" ht="18.75" x14ac:dyDescent="0.3">
      <c r="A78" s="88"/>
      <c r="B78" s="88"/>
    </row>
    <row r="79" spans="1:8" ht="26.25" customHeight="1" x14ac:dyDescent="0.4">
      <c r="A79" s="221" t="s">
        <v>3</v>
      </c>
      <c r="B79" s="301">
        <f>B26</f>
        <v>0</v>
      </c>
      <c r="C79" s="301"/>
    </row>
    <row r="80" spans="1:8" ht="26.25" customHeight="1" x14ac:dyDescent="0.4">
      <c r="A80" s="179" t="s">
        <v>46</v>
      </c>
      <c r="B80" s="301">
        <f>B27</f>
        <v>0</v>
      </c>
      <c r="C80" s="301"/>
    </row>
    <row r="81" spans="1:12" ht="27" customHeight="1" thickBot="1" x14ac:dyDescent="0.45">
      <c r="A81" s="179" t="s">
        <v>5</v>
      </c>
      <c r="B81" s="175">
        <f>B28</f>
        <v>96.4</v>
      </c>
    </row>
    <row r="82" spans="1:12" s="8" customFormat="1" ht="27" customHeight="1" thickBot="1" x14ac:dyDescent="0.45">
      <c r="A82" s="179" t="s">
        <v>47</v>
      </c>
      <c r="B82" s="89">
        <v>0</v>
      </c>
      <c r="C82" s="283" t="s">
        <v>48</v>
      </c>
      <c r="D82" s="284"/>
      <c r="E82" s="284"/>
      <c r="F82" s="284"/>
      <c r="G82" s="285"/>
      <c r="I82" s="90"/>
      <c r="J82" s="90"/>
      <c r="K82" s="90"/>
      <c r="L82" s="90"/>
    </row>
    <row r="83" spans="1:12" s="8" customFormat="1" ht="19.5" customHeight="1" thickBot="1" x14ac:dyDescent="0.35">
      <c r="A83" s="179" t="s">
        <v>49</v>
      </c>
      <c r="B83" s="251">
        <f>B81-B82</f>
        <v>96.4</v>
      </c>
      <c r="C83" s="91"/>
      <c r="D83" s="91"/>
      <c r="E83" s="91"/>
      <c r="F83" s="91"/>
      <c r="G83" s="92"/>
      <c r="I83" s="90"/>
      <c r="J83" s="90"/>
      <c r="K83" s="90"/>
      <c r="L83" s="90"/>
    </row>
    <row r="84" spans="1:12" s="8" customFormat="1" ht="27" customHeight="1" thickBot="1" x14ac:dyDescent="0.45">
      <c r="A84" s="179" t="s">
        <v>50</v>
      </c>
      <c r="B84" s="93">
        <v>1</v>
      </c>
      <c r="C84" s="271" t="s">
        <v>109</v>
      </c>
      <c r="D84" s="272"/>
      <c r="E84" s="272"/>
      <c r="F84" s="272"/>
      <c r="G84" s="272"/>
      <c r="H84" s="273"/>
      <c r="I84" s="90"/>
      <c r="J84" s="90"/>
      <c r="K84" s="90"/>
      <c r="L84" s="90"/>
    </row>
    <row r="85" spans="1:12" s="8" customFormat="1" ht="27" customHeight="1" thickBot="1" x14ac:dyDescent="0.45">
      <c r="A85" s="179" t="s">
        <v>52</v>
      </c>
      <c r="B85" s="93">
        <v>1</v>
      </c>
      <c r="C85" s="271" t="s">
        <v>110</v>
      </c>
      <c r="D85" s="272"/>
      <c r="E85" s="272"/>
      <c r="F85" s="272"/>
      <c r="G85" s="272"/>
      <c r="H85" s="273"/>
      <c r="I85" s="90"/>
      <c r="J85" s="90"/>
      <c r="K85" s="90"/>
      <c r="L85" s="90"/>
    </row>
    <row r="86" spans="1:12" s="8" customFormat="1" ht="18.75" x14ac:dyDescent="0.3">
      <c r="A86" s="179"/>
      <c r="B86" s="96"/>
      <c r="C86" s="97"/>
      <c r="D86" s="97"/>
      <c r="E86" s="97"/>
      <c r="F86" s="97"/>
      <c r="G86" s="97"/>
      <c r="H86" s="97"/>
      <c r="I86" s="90"/>
      <c r="J86" s="90"/>
      <c r="K86" s="90"/>
      <c r="L86" s="90"/>
    </row>
    <row r="87" spans="1:12" s="8" customFormat="1" ht="18.75" x14ac:dyDescent="0.3">
      <c r="A87" s="179" t="s">
        <v>54</v>
      </c>
      <c r="B87" s="98">
        <f>B84/B85</f>
        <v>1</v>
      </c>
      <c r="C87" s="173" t="s">
        <v>55</v>
      </c>
      <c r="D87" s="173"/>
      <c r="E87" s="173"/>
      <c r="F87" s="173"/>
      <c r="G87" s="173"/>
      <c r="I87" s="90"/>
      <c r="J87" s="90"/>
      <c r="K87" s="90"/>
      <c r="L87" s="90"/>
    </row>
    <row r="88" spans="1:12" ht="19.5" customHeight="1" thickBot="1" x14ac:dyDescent="0.35">
      <c r="A88" s="88"/>
      <c r="B88" s="88"/>
    </row>
    <row r="89" spans="1:12" ht="27" customHeight="1" thickBot="1" x14ac:dyDescent="0.45">
      <c r="A89" s="99" t="s">
        <v>56</v>
      </c>
      <c r="B89" s="100">
        <v>20</v>
      </c>
      <c r="D89" s="249" t="s">
        <v>57</v>
      </c>
      <c r="E89" s="250"/>
      <c r="F89" s="286" t="s">
        <v>58</v>
      </c>
      <c r="G89" s="288"/>
    </row>
    <row r="90" spans="1:12" ht="27" customHeight="1" thickBot="1" x14ac:dyDescent="0.45">
      <c r="A90" s="101" t="s">
        <v>59</v>
      </c>
      <c r="B90" s="102">
        <v>3</v>
      </c>
      <c r="C90" s="252" t="s">
        <v>60</v>
      </c>
      <c r="D90" s="104" t="s">
        <v>61</v>
      </c>
      <c r="E90" s="105" t="s">
        <v>62</v>
      </c>
      <c r="F90" s="104" t="s">
        <v>61</v>
      </c>
      <c r="G90" s="176" t="s">
        <v>62</v>
      </c>
      <c r="I90" s="107" t="s">
        <v>63</v>
      </c>
    </row>
    <row r="91" spans="1:12" ht="26.25" customHeight="1" x14ac:dyDescent="0.4">
      <c r="A91" s="101" t="s">
        <v>64</v>
      </c>
      <c r="B91" s="102">
        <v>25</v>
      </c>
      <c r="C91" s="177">
        <v>1</v>
      </c>
      <c r="D91" s="109">
        <v>39066845</v>
      </c>
      <c r="E91" s="110">
        <f>IF(ISBLANK(D91),"-",$D$101/$D$98*D91)</f>
        <v>43571602.09438248</v>
      </c>
      <c r="F91" s="109">
        <v>42399859</v>
      </c>
      <c r="G91" s="111">
        <f>IF(ISBLANK(F91),"-",$D$101/$F$98*F91)</f>
        <v>44440459.673184104</v>
      </c>
      <c r="I91" s="112"/>
    </row>
    <row r="92" spans="1:12" ht="26.25" customHeight="1" x14ac:dyDescent="0.4">
      <c r="A92" s="101" t="s">
        <v>65</v>
      </c>
      <c r="B92" s="102">
        <v>1</v>
      </c>
      <c r="C92" s="187">
        <v>2</v>
      </c>
      <c r="D92" s="113">
        <v>38928447</v>
      </c>
      <c r="E92" s="114">
        <f>IF(ISBLANK(D92),"-",$D$101/$D$98*D92)</f>
        <v>43417245.565549441</v>
      </c>
      <c r="F92" s="113">
        <v>42378134</v>
      </c>
      <c r="G92" s="115">
        <f>IF(ISBLANK(F92),"-",$D$101/$F$98*F92)</f>
        <v>44417689.102498956</v>
      </c>
      <c r="I92" s="289">
        <f>ABS((F96/D96*D95)-F95)/D95</f>
        <v>2.5402543494405943E-2</v>
      </c>
    </row>
    <row r="93" spans="1:12" ht="26.25" customHeight="1" x14ac:dyDescent="0.4">
      <c r="A93" s="101" t="s">
        <v>66</v>
      </c>
      <c r="B93" s="102">
        <v>1</v>
      </c>
      <c r="C93" s="187">
        <v>3</v>
      </c>
      <c r="D93" s="113">
        <v>39088131</v>
      </c>
      <c r="E93" s="114">
        <f>IF(ISBLANK(D93),"-",$D$101/$D$98*D93)</f>
        <v>43595342.560810752</v>
      </c>
      <c r="F93" s="113">
        <v>42387725</v>
      </c>
      <c r="G93" s="115">
        <f>IF(ISBLANK(F93),"-",$D$101/$F$98*F93)</f>
        <v>44427741.693681523</v>
      </c>
      <c r="I93" s="289"/>
    </row>
    <row r="94" spans="1:12" ht="27" customHeight="1" thickBot="1" x14ac:dyDescent="0.45">
      <c r="A94" s="101" t="s">
        <v>67</v>
      </c>
      <c r="B94" s="102">
        <v>1</v>
      </c>
      <c r="C94" s="178">
        <v>4</v>
      </c>
      <c r="D94" s="117">
        <v>38677839</v>
      </c>
      <c r="E94" s="118">
        <f>IF(ISBLANK(D94),"-",$D$101/$D$98*D94)</f>
        <v>43137740.21881184</v>
      </c>
      <c r="F94" s="246">
        <v>42536045</v>
      </c>
      <c r="G94" s="119">
        <f>IF(ISBLANK(F94),"-",$D$101/$F$98*F94)</f>
        <v>44583199.969585851</v>
      </c>
      <c r="I94" s="120"/>
    </row>
    <row r="95" spans="1:12" ht="27" customHeight="1" thickBot="1" x14ac:dyDescent="0.45">
      <c r="A95" s="101" t="s">
        <v>68</v>
      </c>
      <c r="B95" s="102">
        <v>1</v>
      </c>
      <c r="C95" s="179" t="s">
        <v>69</v>
      </c>
      <c r="D95" s="180">
        <f>AVERAGE(D91:D94)</f>
        <v>38940315.5</v>
      </c>
      <c r="E95" s="123">
        <f>AVERAGE(E91:E94)</f>
        <v>43430482.609888628</v>
      </c>
      <c r="F95" s="181">
        <f>AVERAGE(F91:F94)</f>
        <v>42425440.75</v>
      </c>
      <c r="G95" s="182">
        <f>AVERAGE(G91:G94)</f>
        <v>44467272.609737605</v>
      </c>
    </row>
    <row r="96" spans="1:12" ht="26.25" customHeight="1" x14ac:dyDescent="0.4">
      <c r="A96" s="101" t="s">
        <v>70</v>
      </c>
      <c r="B96" s="175">
        <v>1</v>
      </c>
      <c r="C96" s="183" t="s">
        <v>111</v>
      </c>
      <c r="D96" s="184">
        <v>21.53</v>
      </c>
      <c r="E96" s="173"/>
      <c r="F96" s="127">
        <v>22.91</v>
      </c>
    </row>
    <row r="97" spans="1:10" ht="26.25" customHeight="1" x14ac:dyDescent="0.4">
      <c r="A97" s="101" t="s">
        <v>72</v>
      </c>
      <c r="B97" s="175">
        <v>1</v>
      </c>
      <c r="C97" s="185" t="s">
        <v>112</v>
      </c>
      <c r="D97" s="186">
        <f>D96*$B$87</f>
        <v>21.53</v>
      </c>
      <c r="E97" s="187"/>
      <c r="F97" s="129">
        <f>F96*$B$87</f>
        <v>22.91</v>
      </c>
    </row>
    <row r="98" spans="1:10" ht="19.5" customHeight="1" thickBot="1" x14ac:dyDescent="0.35">
      <c r="A98" s="101" t="s">
        <v>74</v>
      </c>
      <c r="B98" s="187">
        <f>(B97/B96)*(B95/B94)*(B93/B92)*(B91/B90)*B89</f>
        <v>166.66666666666669</v>
      </c>
      <c r="C98" s="185" t="s">
        <v>113</v>
      </c>
      <c r="D98" s="188">
        <f>D97*$B$83/100</f>
        <v>20.754920000000002</v>
      </c>
      <c r="E98" s="170"/>
      <c r="F98" s="131">
        <f>F97*$B$83/100</f>
        <v>22.085240000000002</v>
      </c>
    </row>
    <row r="99" spans="1:10" ht="19.5" customHeight="1" thickBot="1" x14ac:dyDescent="0.35">
      <c r="A99" s="290" t="s">
        <v>76</v>
      </c>
      <c r="B99" s="307"/>
      <c r="C99" s="185" t="s">
        <v>114</v>
      </c>
      <c r="D99" s="189">
        <f>D98/$B$98</f>
        <v>0.12452952</v>
      </c>
      <c r="E99" s="170"/>
      <c r="F99" s="134">
        <f>F98/$B$98</f>
        <v>0.13251144000000001</v>
      </c>
      <c r="H99" s="125"/>
    </row>
    <row r="100" spans="1:10" ht="19.5" customHeight="1" thickBot="1" x14ac:dyDescent="0.35">
      <c r="A100" s="292"/>
      <c r="B100" s="308"/>
      <c r="C100" s="185" t="s">
        <v>78</v>
      </c>
      <c r="D100" s="191">
        <f>$B$56/$B$116</f>
        <v>0.1388888888888889</v>
      </c>
      <c r="F100" s="139"/>
      <c r="G100" s="197"/>
      <c r="H100" s="125"/>
    </row>
    <row r="101" spans="1:10" ht="18.75" x14ac:dyDescent="0.3">
      <c r="C101" s="185" t="s">
        <v>79</v>
      </c>
      <c r="D101" s="186">
        <f>D100*$B$98</f>
        <v>23.148148148148152</v>
      </c>
      <c r="F101" s="139"/>
      <c r="H101" s="125"/>
    </row>
    <row r="102" spans="1:10" ht="19.5" customHeight="1" thickBot="1" x14ac:dyDescent="0.35">
      <c r="C102" s="192" t="s">
        <v>80</v>
      </c>
      <c r="D102" s="193">
        <f>D101/B34</f>
        <v>23.148148148148152</v>
      </c>
      <c r="F102" s="143"/>
      <c r="H102" s="125"/>
      <c r="J102" s="194"/>
    </row>
    <row r="103" spans="1:10" ht="18.75" x14ac:dyDescent="0.3">
      <c r="C103" s="195" t="s">
        <v>115</v>
      </c>
      <c r="D103" s="196">
        <f>AVERAGE(E91:E94,G91:G94)</f>
        <v>43948877.609813116</v>
      </c>
      <c r="F103" s="143"/>
      <c r="G103" s="197"/>
      <c r="H103" s="125"/>
      <c r="J103" s="198"/>
    </row>
    <row r="104" spans="1:10" ht="18.75" x14ac:dyDescent="0.3">
      <c r="C104" s="169" t="s">
        <v>82</v>
      </c>
      <c r="D104" s="199">
        <f>STDEV(E91:E94,G91:G94)/D103</f>
        <v>1.3045560465079991E-2</v>
      </c>
      <c r="F104" s="143"/>
      <c r="H104" s="125"/>
      <c r="J104" s="198"/>
    </row>
    <row r="105" spans="1:10" ht="19.5" customHeight="1" thickBot="1" x14ac:dyDescent="0.35">
      <c r="C105" s="171" t="s">
        <v>19</v>
      </c>
      <c r="D105" s="200">
        <f>COUNT(E91:E94,G91:G94)</f>
        <v>8</v>
      </c>
      <c r="F105" s="143"/>
      <c r="H105" s="125"/>
      <c r="J105" s="198"/>
    </row>
    <row r="106" spans="1:10" ht="19.5" customHeight="1" thickBot="1" x14ac:dyDescent="0.35">
      <c r="A106" s="147"/>
      <c r="B106" s="147"/>
      <c r="C106" s="147"/>
      <c r="D106" s="147"/>
      <c r="E106" s="147"/>
    </row>
    <row r="107" spans="1:10" ht="26.25" customHeight="1" x14ac:dyDescent="0.4">
      <c r="A107" s="99" t="s">
        <v>116</v>
      </c>
      <c r="B107" s="100">
        <v>900</v>
      </c>
      <c r="C107" s="249" t="s">
        <v>117</v>
      </c>
      <c r="D107" s="201" t="s">
        <v>61</v>
      </c>
      <c r="E107" s="202" t="s">
        <v>118</v>
      </c>
      <c r="F107" s="203" t="s">
        <v>119</v>
      </c>
    </row>
    <row r="108" spans="1:10" ht="26.25" customHeight="1" x14ac:dyDescent="0.4">
      <c r="A108" s="101" t="s">
        <v>120</v>
      </c>
      <c r="B108" s="102">
        <v>1</v>
      </c>
      <c r="C108" s="204">
        <v>1</v>
      </c>
      <c r="D108" s="205">
        <v>43600421</v>
      </c>
      <c r="E108" s="234">
        <f t="shared" ref="E108:E113" si="1">IF(ISBLANK(D108),"-",D108/$D$103*$D$100*$B$116)</f>
        <v>124.00891493490806</v>
      </c>
      <c r="F108" s="206">
        <f t="shared" ref="F108:F113" si="2">IF(ISBLANK(D108), "-", E108/$B$56)</f>
        <v>0.99207131947926452</v>
      </c>
    </row>
    <row r="109" spans="1:10" ht="26.25" customHeight="1" x14ac:dyDescent="0.4">
      <c r="A109" s="101" t="s">
        <v>93</v>
      </c>
      <c r="B109" s="102">
        <v>1</v>
      </c>
      <c r="C109" s="204">
        <v>2</v>
      </c>
      <c r="D109" s="205">
        <v>35409928</v>
      </c>
      <c r="E109" s="235">
        <f t="shared" si="1"/>
        <v>100.71340249680661</v>
      </c>
      <c r="F109" s="207">
        <f t="shared" si="2"/>
        <v>0.80570721997445283</v>
      </c>
    </row>
    <row r="110" spans="1:10" ht="26.25" customHeight="1" x14ac:dyDescent="0.4">
      <c r="A110" s="101" t="s">
        <v>94</v>
      </c>
      <c r="B110" s="102">
        <v>1</v>
      </c>
      <c r="C110" s="204">
        <v>3</v>
      </c>
      <c r="D110" s="205">
        <v>42755220</v>
      </c>
      <c r="E110" s="235">
        <f t="shared" si="1"/>
        <v>121.60498266755909</v>
      </c>
      <c r="F110" s="207">
        <f t="shared" si="2"/>
        <v>0.97283986134047273</v>
      </c>
    </row>
    <row r="111" spans="1:10" ht="26.25" customHeight="1" x14ac:dyDescent="0.4">
      <c r="A111" s="101" t="s">
        <v>95</v>
      </c>
      <c r="B111" s="102">
        <v>1</v>
      </c>
      <c r="C111" s="204">
        <v>4</v>
      </c>
      <c r="D111" s="205">
        <v>39639875</v>
      </c>
      <c r="E111" s="235">
        <f t="shared" si="1"/>
        <v>112.74427572397498</v>
      </c>
      <c r="F111" s="207">
        <f t="shared" si="2"/>
        <v>0.90195420579179986</v>
      </c>
    </row>
    <row r="112" spans="1:10" ht="26.25" customHeight="1" x14ac:dyDescent="0.4">
      <c r="A112" s="101" t="s">
        <v>96</v>
      </c>
      <c r="B112" s="102">
        <v>1</v>
      </c>
      <c r="C112" s="204">
        <v>5</v>
      </c>
      <c r="D112" s="205">
        <v>43528530</v>
      </c>
      <c r="E112" s="235">
        <f t="shared" si="1"/>
        <v>123.80444156747002</v>
      </c>
      <c r="F112" s="207">
        <f t="shared" si="2"/>
        <v>0.99043553253976013</v>
      </c>
    </row>
    <row r="113" spans="1:10" ht="26.25" customHeight="1" x14ac:dyDescent="0.4">
      <c r="A113" s="101" t="s">
        <v>98</v>
      </c>
      <c r="B113" s="102">
        <v>1</v>
      </c>
      <c r="C113" s="208">
        <v>6</v>
      </c>
      <c r="D113" s="209">
        <v>42948010</v>
      </c>
      <c r="E113" s="236">
        <f t="shared" si="1"/>
        <v>122.15331862767061</v>
      </c>
      <c r="F113" s="210">
        <f t="shared" si="2"/>
        <v>0.97722654902136497</v>
      </c>
    </row>
    <row r="114" spans="1:10" ht="26.25" customHeight="1" x14ac:dyDescent="0.4">
      <c r="A114" s="101" t="s">
        <v>99</v>
      </c>
      <c r="B114" s="102">
        <v>1</v>
      </c>
      <c r="C114" s="204"/>
      <c r="D114" s="187"/>
      <c r="E114" s="173"/>
      <c r="F114" s="211"/>
      <c r="H114" s="238" t="s">
        <v>128</v>
      </c>
    </row>
    <row r="115" spans="1:10" ht="26.25" customHeight="1" x14ac:dyDescent="0.4">
      <c r="A115" s="101" t="s">
        <v>100</v>
      </c>
      <c r="B115" s="102">
        <v>1</v>
      </c>
      <c r="C115" s="204"/>
      <c r="D115" s="212" t="s">
        <v>69</v>
      </c>
      <c r="E115" s="238">
        <f>AVERAGE(E108:E113)</f>
        <v>117.50488933639822</v>
      </c>
      <c r="F115" s="213">
        <f>AVERAGE(F108:F113)</f>
        <v>0.94003911469118595</v>
      </c>
      <c r="G115" s="212" t="s">
        <v>69</v>
      </c>
      <c r="H115" s="213">
        <f>AVERAGE('Clavulanic Acid '!F108:F113,F108:F113)</f>
        <v>0.94467619361838973</v>
      </c>
    </row>
    <row r="116" spans="1:10" ht="27" customHeight="1" thickBot="1" x14ac:dyDescent="0.45">
      <c r="A116" s="101" t="s">
        <v>101</v>
      </c>
      <c r="B116" s="130">
        <f>(B115/B114)*(B113/B112)*(B111/B110)*(B109/B108)*B107</f>
        <v>900</v>
      </c>
      <c r="C116" s="214"/>
      <c r="D116" s="179" t="s">
        <v>82</v>
      </c>
      <c r="E116" s="215">
        <f>STDEV(E108:E113)/E115</f>
        <v>7.8463051519776977E-2</v>
      </c>
      <c r="F116" s="215">
        <f>STDEV(F108:F113)/F115</f>
        <v>7.8463051519776991E-2</v>
      </c>
      <c r="G116" s="179" t="s">
        <v>82</v>
      </c>
      <c r="H116" s="310">
        <f>STDEV('Clavulanic Acid '!F108:F113,F108:F113)/H115</f>
        <v>7.2427315921593308E-2</v>
      </c>
      <c r="I116" s="173"/>
    </row>
    <row r="117" spans="1:10" ht="27" customHeight="1" thickBot="1" x14ac:dyDescent="0.45">
      <c r="A117" s="290" t="s">
        <v>76</v>
      </c>
      <c r="B117" s="291"/>
      <c r="C117" s="216"/>
      <c r="D117" s="217" t="s">
        <v>19</v>
      </c>
      <c r="E117" s="218">
        <f>COUNT(E108:E113)</f>
        <v>6</v>
      </c>
      <c r="F117" s="218">
        <f>COUNT(F108:F113)</f>
        <v>6</v>
      </c>
      <c r="G117" s="217" t="s">
        <v>19</v>
      </c>
      <c r="H117" s="218">
        <f>COUNT('Clavulanic Acid '!F108:F113,F108:F113)</f>
        <v>12</v>
      </c>
      <c r="I117" s="173"/>
      <c r="J117" s="198"/>
    </row>
    <row r="118" spans="1:10" ht="19.5" customHeight="1" thickBot="1" x14ac:dyDescent="0.35">
      <c r="A118" s="292"/>
      <c r="B118" s="293"/>
      <c r="C118" s="173"/>
      <c r="D118" s="173"/>
      <c r="E118" s="173"/>
      <c r="F118" s="187"/>
      <c r="G118" s="173"/>
      <c r="H118" s="173"/>
      <c r="I118" s="173"/>
    </row>
    <row r="119" spans="1:10" ht="18.75" x14ac:dyDescent="0.3">
      <c r="A119" s="225"/>
      <c r="B119" s="97"/>
      <c r="C119" s="173"/>
      <c r="D119" s="173"/>
      <c r="E119" s="173"/>
      <c r="F119" s="187"/>
      <c r="G119" s="173"/>
      <c r="H119" s="173"/>
      <c r="I119" s="173"/>
    </row>
    <row r="120" spans="1:10" ht="26.25" customHeight="1" x14ac:dyDescent="0.4">
      <c r="A120" s="221" t="s">
        <v>104</v>
      </c>
      <c r="B120" s="179" t="s">
        <v>121</v>
      </c>
      <c r="C120" s="306" t="str">
        <f>B20</f>
        <v>AMOXICILLIN 500MG</v>
      </c>
      <c r="D120" s="306"/>
      <c r="E120" s="173" t="s">
        <v>122</v>
      </c>
      <c r="F120" s="173"/>
      <c r="G120" s="174">
        <f>F115</f>
        <v>0.94003911469118595</v>
      </c>
      <c r="H120" s="173"/>
      <c r="I120" s="173"/>
    </row>
    <row r="121" spans="1:10" ht="19.5" customHeight="1" thickBot="1" x14ac:dyDescent="0.35">
      <c r="A121" s="253"/>
      <c r="B121" s="253"/>
      <c r="C121" s="219"/>
      <c r="D121" s="219"/>
      <c r="E121" s="219"/>
      <c r="F121" s="219"/>
      <c r="G121" s="219"/>
      <c r="H121" s="219"/>
    </row>
    <row r="122" spans="1:10" ht="18.75" x14ac:dyDescent="0.3">
      <c r="B122" s="309" t="s">
        <v>24</v>
      </c>
      <c r="C122" s="309"/>
      <c r="E122" s="252" t="s">
        <v>25</v>
      </c>
      <c r="F122" s="220"/>
      <c r="G122" s="309" t="s">
        <v>26</v>
      </c>
      <c r="H122" s="309"/>
    </row>
    <row r="123" spans="1:10" ht="69.95" customHeight="1" x14ac:dyDescent="0.3">
      <c r="A123" s="221" t="s">
        <v>27</v>
      </c>
      <c r="B123" s="222"/>
      <c r="C123" s="222"/>
      <c r="E123" s="222"/>
      <c r="F123" s="173"/>
      <c r="G123" s="222"/>
      <c r="H123" s="222"/>
    </row>
    <row r="124" spans="1:10" ht="69.95" customHeight="1" x14ac:dyDescent="0.3">
      <c r="A124" s="221" t="s">
        <v>28</v>
      </c>
      <c r="B124" s="223"/>
      <c r="C124" s="223"/>
      <c r="E124" s="223"/>
      <c r="F124" s="173"/>
      <c r="G124" s="224"/>
      <c r="H124" s="224"/>
    </row>
    <row r="125" spans="1:10" ht="18.75" x14ac:dyDescent="0.3">
      <c r="A125" s="187"/>
      <c r="B125" s="187"/>
      <c r="C125" s="187"/>
      <c r="D125" s="187"/>
      <c r="E125" s="187"/>
      <c r="F125" s="170"/>
      <c r="G125" s="187"/>
      <c r="H125" s="187"/>
      <c r="I125" s="173"/>
    </row>
    <row r="126" spans="1:10" ht="18.75" x14ac:dyDescent="0.3">
      <c r="A126" s="187"/>
      <c r="B126" s="187"/>
      <c r="C126" s="187"/>
      <c r="D126" s="187"/>
      <c r="E126" s="187"/>
      <c r="F126" s="170"/>
      <c r="G126" s="187"/>
      <c r="H126" s="187"/>
      <c r="I126" s="173"/>
    </row>
    <row r="127" spans="1:10" ht="18.75" x14ac:dyDescent="0.3">
      <c r="A127" s="187"/>
      <c r="B127" s="187"/>
      <c r="C127" s="187"/>
      <c r="D127" s="187"/>
      <c r="E127" s="187"/>
      <c r="F127" s="170"/>
      <c r="G127" s="187"/>
      <c r="H127" s="187"/>
      <c r="I127" s="173"/>
    </row>
    <row r="128" spans="1:10" ht="18.75" x14ac:dyDescent="0.3">
      <c r="A128" s="187"/>
      <c r="B128" s="187"/>
      <c r="C128" s="187"/>
      <c r="D128" s="187"/>
      <c r="E128" s="187"/>
      <c r="F128" s="170"/>
      <c r="G128" s="187"/>
      <c r="H128" s="187"/>
      <c r="I128" s="173"/>
    </row>
    <row r="129" spans="1:9" ht="18.75" x14ac:dyDescent="0.3">
      <c r="A129" s="187"/>
      <c r="B129" s="187"/>
      <c r="C129" s="187"/>
      <c r="D129" s="187"/>
      <c r="E129" s="187"/>
      <c r="F129" s="170"/>
      <c r="G129" s="187"/>
      <c r="H129" s="187"/>
      <c r="I129" s="173"/>
    </row>
    <row r="130" spans="1:9" ht="18.75" x14ac:dyDescent="0.3">
      <c r="A130" s="187"/>
      <c r="B130" s="187"/>
      <c r="C130" s="187"/>
      <c r="D130" s="187"/>
      <c r="E130" s="187"/>
      <c r="F130" s="170"/>
      <c r="G130" s="187"/>
      <c r="H130" s="187"/>
      <c r="I130" s="173"/>
    </row>
    <row r="131" spans="1:9" ht="18.75" x14ac:dyDescent="0.3">
      <c r="A131" s="187"/>
      <c r="B131" s="187"/>
      <c r="C131" s="187"/>
      <c r="D131" s="187"/>
      <c r="E131" s="187"/>
      <c r="F131" s="170"/>
      <c r="G131" s="187"/>
      <c r="H131" s="187"/>
      <c r="I131" s="173"/>
    </row>
    <row r="132" spans="1:9" ht="18.75" x14ac:dyDescent="0.3">
      <c r="A132" s="187"/>
      <c r="B132" s="187"/>
      <c r="C132" s="187"/>
      <c r="D132" s="187"/>
      <c r="E132" s="187"/>
      <c r="F132" s="170"/>
      <c r="G132" s="187"/>
      <c r="H132" s="187"/>
      <c r="I132" s="173"/>
    </row>
    <row r="133" spans="1:9" ht="18.75" x14ac:dyDescent="0.3">
      <c r="A133" s="187"/>
      <c r="B133" s="187"/>
      <c r="C133" s="187"/>
      <c r="D133" s="187"/>
      <c r="E133" s="187"/>
      <c r="F133" s="170"/>
      <c r="G133" s="187"/>
      <c r="H133" s="187"/>
      <c r="I133" s="173"/>
    </row>
    <row r="250" spans="1:1" x14ac:dyDescent="0.25">
      <c r="A250" s="19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 (diss run 1)</vt:lpstr>
      <vt:lpstr>SST </vt:lpstr>
      <vt:lpstr>Uniformity</vt:lpstr>
      <vt:lpstr>Amoxicillin Trihydrate </vt:lpstr>
      <vt:lpstr>Clavulanic Acid </vt:lpstr>
      <vt:lpstr>amoxicillin Trihydrate  (2)</vt:lpstr>
      <vt:lpstr>Clavulanic acid 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2016-06-08T15:44:34Z</cp:lastPrinted>
  <dcterms:created xsi:type="dcterms:W3CDTF">2005-07-05T10:19:27Z</dcterms:created>
  <dcterms:modified xsi:type="dcterms:W3CDTF">2016-06-14T12:00:54Z</dcterms:modified>
</cp:coreProperties>
</file>