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810" windowWidth="20535" windowHeight="9120"/>
  </bookViews>
  <sheets>
    <sheet name="SST" sheetId="4" r:id="rId1"/>
    <sheet name="Uniformity" sheetId="2" r:id="rId2"/>
    <sheet name="Rosuvostatin" sheetId="3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42" i="4" l="1"/>
  <c r="G120" i="3" l="1"/>
  <c r="F112" i="3"/>
  <c r="F110" i="3"/>
  <c r="F108" i="3"/>
  <c r="E108" i="3"/>
  <c r="B98" i="3"/>
  <c r="D100" i="3"/>
  <c r="G76" i="3"/>
  <c r="C56" i="3"/>
  <c r="B69" i="3" l="1"/>
  <c r="D47" i="3"/>
  <c r="B45" i="3"/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D44" i="3" l="1"/>
  <c r="D45" i="3" s="1"/>
  <c r="D101" i="3"/>
  <c r="B85" i="3"/>
  <c r="B84" i="3"/>
  <c r="B87" i="3" s="1"/>
  <c r="B68" i="3"/>
  <c r="B34" i="3"/>
  <c r="C120" i="3"/>
  <c r="B116" i="3"/>
  <c r="F95" i="3"/>
  <c r="D95" i="3"/>
  <c r="B81" i="3"/>
  <c r="B83" i="3" s="1"/>
  <c r="B80" i="3"/>
  <c r="B79" i="3"/>
  <c r="C76" i="3"/>
  <c r="B55" i="3"/>
  <c r="F42" i="3"/>
  <c r="D42" i="3"/>
  <c r="F44" i="3"/>
  <c r="B30" i="3"/>
  <c r="C46" i="2"/>
  <c r="D37" i="2" s="1"/>
  <c r="C45" i="2"/>
  <c r="C19" i="2"/>
  <c r="I92" i="3" l="1"/>
  <c r="D29" i="2"/>
  <c r="D25" i="2"/>
  <c r="D41" i="2"/>
  <c r="D33" i="2"/>
  <c r="I39" i="3"/>
  <c r="G91" i="3"/>
  <c r="D48" i="3"/>
  <c r="F97" i="3"/>
  <c r="F98" i="3" s="1"/>
  <c r="D97" i="3"/>
  <c r="D98" i="3" s="1"/>
  <c r="E91" i="3" s="1"/>
  <c r="F45" i="3"/>
  <c r="F46" i="3" s="1"/>
  <c r="D102" i="3"/>
  <c r="C50" i="2"/>
  <c r="D26" i="2"/>
  <c r="D30" i="2"/>
  <c r="D34" i="2"/>
  <c r="D38" i="2"/>
  <c r="D42" i="2"/>
  <c r="B49" i="2"/>
  <c r="D50" i="2"/>
  <c r="D27" i="2"/>
  <c r="D31" i="2"/>
  <c r="D35" i="2"/>
  <c r="D39" i="2"/>
  <c r="D43" i="2"/>
  <c r="C49" i="2"/>
  <c r="G40" i="3"/>
  <c r="D24" i="2"/>
  <c r="D28" i="2"/>
  <c r="D32" i="2"/>
  <c r="D36" i="2"/>
  <c r="D40" i="2"/>
  <c r="D49" i="2"/>
  <c r="G39" i="3"/>
  <c r="D49" i="3" l="1"/>
  <c r="G38" i="3"/>
  <c r="G42" i="3" s="1"/>
  <c r="E38" i="3"/>
  <c r="D46" i="3"/>
  <c r="D99" i="3"/>
  <c r="E92" i="3"/>
  <c r="F99" i="3"/>
  <c r="G93" i="3"/>
  <c r="E39" i="3"/>
  <c r="E40" i="3"/>
  <c r="E93" i="3"/>
  <c r="G92" i="3"/>
  <c r="G95" i="3" l="1"/>
  <c r="D103" i="3"/>
  <c r="D105" i="3"/>
  <c r="D52" i="3"/>
  <c r="E95" i="3"/>
  <c r="D50" i="3"/>
  <c r="E42" i="3"/>
  <c r="D51" i="3" l="1"/>
  <c r="G60" i="3"/>
  <c r="H60" i="3" s="1"/>
  <c r="E112" i="3"/>
  <c r="D104" i="3"/>
  <c r="E113" i="3"/>
  <c r="F113" i="3" s="1"/>
  <c r="E110" i="3"/>
  <c r="E109" i="3"/>
  <c r="F109" i="3" s="1"/>
  <c r="E111" i="3"/>
  <c r="F111" i="3" s="1"/>
  <c r="G69" i="3"/>
  <c r="H69" i="3" s="1"/>
  <c r="G70" i="3"/>
  <c r="H70" i="3" s="1"/>
  <c r="G61" i="3"/>
  <c r="H61" i="3" s="1"/>
  <c r="G66" i="3"/>
  <c r="H66" i="3" s="1"/>
  <c r="G68" i="3"/>
  <c r="H68" i="3" s="1"/>
  <c r="G64" i="3"/>
  <c r="H64" i="3" s="1"/>
  <c r="G65" i="3"/>
  <c r="H65" i="3" s="1"/>
  <c r="G62" i="3"/>
  <c r="H62" i="3" s="1"/>
  <c r="F115" i="3" l="1"/>
  <c r="F117" i="3"/>
  <c r="H72" i="3"/>
  <c r="H74" i="3"/>
  <c r="F116" i="3" l="1"/>
  <c r="H73" i="3"/>
</calcChain>
</file>

<file path=xl/sharedStrings.xml><?xml version="1.0" encoding="utf-8"?>
<sst xmlns="http://schemas.openxmlformats.org/spreadsheetml/2006/main" count="234" uniqueCount="128">
  <si>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</si>
  <si>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</si>
  <si>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</si>
  <si>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</si>
  <si>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</si>
  <si>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</si>
  <si>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</si>
  <si>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</si>
  <si>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</si>
  <si>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</si>
  <si>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</si>
  <si>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</si>
  <si>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</si>
  <si>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</si>
  <si>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</si>
  <si>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>Mwt of compound in salt form: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</si>
  <si>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</si>
  <si>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</si>
  <si>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</si>
  <si>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</si>
  <si>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</si>
  <si>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</si>
  <si>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</si>
  <si>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</si>
  <si>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</si>
  <si>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</si>
  <si>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</si>
  <si>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</si>
  <si>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</si>
  <si>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</si>
  <si>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</si>
  <si>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</si>
  <si>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</si>
  <si>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</si>
  <si>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</si>
  <si>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</si>
  <si>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</si>
  <si>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</si>
  <si>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</si>
  <si>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</si>
  <si>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</si>
  <si>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</si>
  <si>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</si>
  <si>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</si>
  <si>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</si>
  <si>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</si>
  <si>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</si>
  <si>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</si>
  <si>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</si>
  <si>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</si>
  <si>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</si>
  <si>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</si>
  <si>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</si>
  <si>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</si>
  <si>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</si>
  <si>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</si>
  <si>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</si>
  <si>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</si>
  <si>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</si>
  <si>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</si>
  <si>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</si>
  <si>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</si>
  <si>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</si>
  <si>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</si>
  <si>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</si>
  <si>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</si>
  <si>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</si>
  <si>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</si>
  <si>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</si>
  <si>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</si>
  <si>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</si>
  <si>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</si>
  <si>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</si>
  <si>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</si>
  <si>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2014-10-30 09:45:04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</si>
  <si>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</si>
  <si>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</si>
  <si>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</si>
  <si>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</si>
  <si>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</si>
  <si>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</si>
  <si>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</si>
  <si>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</si>
  <si>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</si>
  <si>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</si>
  <si>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Initial Standard dilution volume (mL):</t>
  </si>
  <si>
    <t xml:space="preserve">Std Response Deviation </t>
  </si>
  <si>
    <t>Mass of RS (mg):</t>
  </si>
  <si>
    <t>Mass of WRS as free base (mg):</t>
  </si>
  <si>
    <t>Purity correction (mg):</t>
  </si>
  <si>
    <t>Concentration (mg/mL):</t>
  </si>
  <si>
    <t>Desired Concentration (mg/mL):</t>
  </si>
  <si>
    <t>Each Tablet contains</t>
  </si>
  <si>
    <t>Average Tablet Content Weight (mg):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</si>
  <si>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</si>
  <si>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</si>
  <si>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Comment:</t>
  </si>
  <si>
    <t xml:space="preserve">The content of </t>
  </si>
  <si>
    <t xml:space="preserve">in the sample as a percentage of the stated  label claim is </t>
  </si>
  <si>
    <t>DISSOLUTION: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</si>
  <si>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</si>
  <si>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</si>
  <si>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 xml:space="preserve">The amount  of </t>
  </si>
  <si>
    <t xml:space="preserve">dissolved as a percentage of the stated  label claim is </t>
  </si>
  <si>
    <t>R1-1</t>
  </si>
  <si>
    <t>ROSUVOSTATIN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</si>
  <si>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</si>
  <si>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</si>
  <si>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</si>
  <si>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</si>
  <si>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</si>
  <si>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</si>
  <si>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</si>
  <si>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</si>
  <si>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</si>
  <si>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</si>
  <si>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</si>
  <si>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</si>
  <si>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</si>
  <si>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</si>
  <si>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</si>
  <si>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</si>
  <si>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</si>
  <si>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Rosumac 10</t>
  </si>
  <si>
    <t>NDQD201511567</t>
  </si>
  <si>
    <t>Rosuvastatin calcium EQ. to Rosuvastatin 10mg</t>
  </si>
  <si>
    <t xml:space="preserve">Rosuvastatin calcium </t>
  </si>
  <si>
    <t>Rusumac-10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</si>
</sst>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\ &quot;mg&quot;"/>
    <numFmt numFmtId="165" formatCode="0.000"/>
    <numFmt numFmtId="166" formatCode="0.0000"/>
    <numFmt numFmtId="167" formatCode="0.0%"/>
    <numFmt numFmtId="168" formatCode="0.00000"/>
    <numFmt numFmtId="169" formatCode="[$-409]d/mmm/yy;@"/>
    <numFmt numFmtId="170" formatCode="dd\-mmm\-yyyy"/>
    <numFmt numFmtId="171" formatCode="0.0\ &quot;mg&quot;"/>
  </numFmts>
  <fonts count="29" x14ac:knownFonts="1">
    <font>
      <sz val="10"/>
      <color rgb="FF000000"/>
      <name val="Arial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i/>
      <sz val="10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</font>
    <font>
      <b/>
      <sz val="12"/>
      <color rgb="FF000000"/>
      <name val="Book Antiqua"/>
      <family val="1"/>
    </font>
    <font>
      <b/>
      <sz val="11"/>
      <color rgb="FF000000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6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7" fillId="2" borderId="0" xfId="0" applyFont="1" applyFill="1"/>
    <xf numFmtId="0" fontId="9" fillId="2" borderId="0" xfId="0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66" fontId="9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right"/>
    </xf>
    <xf numFmtId="168" fontId="12" fillId="2" borderId="0" xfId="0" applyNumberFormat="1" applyFont="1" applyFill="1"/>
    <xf numFmtId="2" fontId="11" fillId="2" borderId="0" xfId="0" applyNumberFormat="1" applyFont="1" applyFill="1"/>
    <xf numFmtId="0" fontId="13" fillId="2" borderId="0" xfId="0" applyFont="1" applyFill="1" applyAlignment="1">
      <alignment horizontal="left"/>
    </xf>
    <xf numFmtId="0" fontId="10" fillId="2" borderId="0" xfId="0" applyFont="1" applyFill="1"/>
    <xf numFmtId="0" fontId="10" fillId="2" borderId="0" xfId="0" applyFont="1" applyFill="1"/>
    <xf numFmtId="0" fontId="14" fillId="2" borderId="0" xfId="0" applyFont="1" applyFill="1" applyAlignment="1">
      <alignment horizontal="right"/>
    </xf>
    <xf numFmtId="0" fontId="10" fillId="2" borderId="39" xfId="0" applyFont="1" applyFill="1" applyBorder="1"/>
    <xf numFmtId="0" fontId="10" fillId="2" borderId="0" xfId="0" applyFont="1" applyFill="1" applyAlignment="1">
      <alignment horizontal="center"/>
    </xf>
    <xf numFmtId="10" fontId="10" fillId="2" borderId="39" xfId="0" applyNumberFormat="1" applyFont="1" applyFill="1" applyBorder="1"/>
    <xf numFmtId="0" fontId="15" fillId="2" borderId="0" xfId="0" applyFont="1" applyFill="1"/>
    <xf numFmtId="0" fontId="14" fillId="2" borderId="34" xfId="0" applyFont="1" applyFill="1" applyBorder="1"/>
    <xf numFmtId="0" fontId="14" fillId="2" borderId="34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4" fillId="2" borderId="0" xfId="0" applyFont="1" applyFill="1" applyAlignment="1">
      <alignment horizontal="right"/>
    </xf>
    <xf numFmtId="0" fontId="10" fillId="2" borderId="35" xfId="0" applyFont="1" applyFill="1" applyBorder="1"/>
    <xf numFmtId="0" fontId="10" fillId="2" borderId="0" xfId="0" applyFont="1" applyFill="1"/>
    <xf numFmtId="0" fontId="10" fillId="2" borderId="35" xfId="0" applyFont="1" applyFill="1" applyBorder="1"/>
    <xf numFmtId="0" fontId="14" fillId="2" borderId="42" xfId="0" applyFont="1" applyFill="1" applyBorder="1"/>
    <xf numFmtId="0" fontId="14" fillId="2" borderId="0" xfId="0" applyFont="1" applyFill="1"/>
    <xf numFmtId="0" fontId="10" fillId="2" borderId="42" xfId="0" applyFont="1" applyFill="1" applyBorder="1"/>
    <xf numFmtId="169" fontId="10" fillId="2" borderId="0" xfId="0" applyNumberFormat="1" applyFont="1" applyFill="1"/>
    <xf numFmtId="166" fontId="10" fillId="2" borderId="0" xfId="0" applyNumberFormat="1" applyFont="1" applyFill="1" applyAlignment="1">
      <alignment horizontal="center"/>
    </xf>
    <xf numFmtId="2" fontId="14" fillId="2" borderId="0" xfId="0" applyNumberFormat="1" applyFont="1" applyFill="1"/>
    <xf numFmtId="10" fontId="9" fillId="2" borderId="0" xfId="0" applyNumberFormat="1" applyFont="1" applyFill="1"/>
    <xf numFmtId="2" fontId="14" fillId="2" borderId="56" xfId="0" applyNumberFormat="1" applyFont="1" applyFill="1" applyBorder="1" applyAlignment="1">
      <alignment horizontal="center" vertical="center"/>
    </xf>
    <xf numFmtId="0" fontId="10" fillId="2" borderId="56" xfId="0" applyFont="1" applyFill="1" applyBorder="1" applyAlignment="1">
      <alignment horizontal="right" vertical="center"/>
    </xf>
    <xf numFmtId="166" fontId="10" fillId="2" borderId="56" xfId="0" applyNumberFormat="1" applyFont="1" applyFill="1" applyBorder="1" applyAlignment="1">
      <alignment horizontal="center" vertical="center"/>
    </xf>
    <xf numFmtId="168" fontId="14" fillId="2" borderId="56" xfId="0" applyNumberFormat="1" applyFont="1" applyFill="1" applyBorder="1" applyAlignment="1">
      <alignment horizontal="center" vertical="center"/>
    </xf>
    <xf numFmtId="0" fontId="14" fillId="2" borderId="56" xfId="0" applyFont="1" applyFill="1" applyBorder="1" applyAlignment="1">
      <alignment horizontal="center" wrapText="1"/>
    </xf>
    <xf numFmtId="168" fontId="14" fillId="2" borderId="56" xfId="0" applyNumberFormat="1" applyFont="1" applyFill="1" applyBorder="1" applyAlignment="1">
      <alignment horizontal="center" wrapText="1"/>
    </xf>
    <xf numFmtId="10" fontId="10" fillId="2" borderId="15" xfId="0" applyNumberFormat="1" applyFont="1" applyFill="1" applyBorder="1" applyAlignment="1">
      <alignment horizontal="center"/>
    </xf>
    <xf numFmtId="10" fontId="10" fillId="2" borderId="16" xfId="0" applyNumberFormat="1" applyFont="1" applyFill="1" applyBorder="1" applyAlignment="1">
      <alignment horizontal="center"/>
    </xf>
    <xf numFmtId="10" fontId="10" fillId="2" borderId="17" xfId="0" applyNumberFormat="1" applyFont="1" applyFill="1" applyBorder="1" applyAlignment="1">
      <alignment horizontal="center"/>
    </xf>
    <xf numFmtId="0" fontId="13" fillId="2" borderId="0" xfId="0" applyFont="1" applyFill="1"/>
    <xf numFmtId="0" fontId="16" fillId="2" borderId="0" xfId="0" applyFont="1" applyFill="1" applyAlignment="1">
      <alignment wrapText="1"/>
    </xf>
    <xf numFmtId="0" fontId="14" fillId="2" borderId="56" xfId="0" applyFont="1" applyFill="1" applyBorder="1" applyAlignment="1">
      <alignment horizontal="center" vertical="center"/>
    </xf>
    <xf numFmtId="167" fontId="14" fillId="2" borderId="41" xfId="0" applyNumberFormat="1" applyFont="1" applyFill="1" applyBorder="1" applyAlignment="1">
      <alignment horizontal="center"/>
    </xf>
    <xf numFmtId="167" fontId="14" fillId="2" borderId="13" xfId="0" applyNumberFormat="1" applyFont="1" applyFill="1" applyBorder="1" applyAlignment="1">
      <alignment horizontal="center"/>
    </xf>
    <xf numFmtId="2" fontId="10" fillId="5" borderId="16" xfId="0" applyNumberFormat="1" applyFont="1" applyFill="1" applyBorder="1" applyProtection="1">
      <protection locked="0"/>
    </xf>
    <xf numFmtId="2" fontId="10" fillId="5" borderId="17" xfId="0" applyNumberFormat="1" applyFont="1" applyFill="1" applyBorder="1" applyProtection="1">
      <protection locked="0"/>
    </xf>
    <xf numFmtId="169" fontId="10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8" fillId="2" borderId="0" xfId="0" applyFont="1" applyFill="1"/>
    <xf numFmtId="0" fontId="18" fillId="5" borderId="0" xfId="0" applyFont="1" applyFill="1" applyAlignment="1" applyProtection="1">
      <alignment horizontal="left"/>
      <protection locked="0"/>
    </xf>
    <xf numFmtId="0" fontId="2" fillId="5" borderId="0" xfId="0" applyFont="1" applyFill="1" applyProtection="1">
      <protection locked="0"/>
    </xf>
    <xf numFmtId="170" fontId="18" fillId="5" borderId="0" xfId="0" applyNumberFormat="1" applyFont="1" applyFill="1" applyAlignment="1" applyProtection="1">
      <alignment horizontal="center"/>
      <protection locked="0"/>
    </xf>
    <xf numFmtId="15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7" fillId="5" borderId="0" xfId="0" applyFont="1" applyFill="1" applyAlignment="1" applyProtection="1">
      <alignment horizontal="center"/>
      <protection locked="0"/>
    </xf>
    <xf numFmtId="0" fontId="18" fillId="5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2" fontId="17" fillId="5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7" fillId="5" borderId="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right"/>
    </xf>
    <xf numFmtId="0" fontId="17" fillId="5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7" fillId="5" borderId="40" xfId="0" applyFont="1" applyFill="1" applyBorder="1" applyAlignment="1" applyProtection="1">
      <alignment horizontal="center"/>
      <protection locked="0"/>
    </xf>
    <xf numFmtId="165" fontId="2" fillId="2" borderId="23" xfId="0" applyNumberFormat="1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2" fillId="2" borderId="3" xfId="0" applyFont="1" applyFill="1" applyBorder="1" applyAlignment="1">
      <alignment horizontal="center"/>
    </xf>
    <xf numFmtId="0" fontId="17" fillId="5" borderId="2" xfId="0" applyFont="1" applyFill="1" applyBorder="1" applyAlignment="1" applyProtection="1">
      <alignment horizontal="center"/>
      <protection locked="0"/>
    </xf>
    <xf numFmtId="165" fontId="2" fillId="2" borderId="24" xfId="0" applyNumberFormat="1" applyFont="1" applyFill="1" applyBorder="1" applyAlignment="1">
      <alignment horizontal="center"/>
    </xf>
    <xf numFmtId="165" fontId="2" fillId="2" borderId="37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8" xfId="0" applyFont="1" applyFill="1" applyBorder="1" applyAlignment="1">
      <alignment horizontal="center"/>
    </xf>
    <xf numFmtId="0" fontId="17" fillId="5" borderId="9" xfId="0" applyFont="1" applyFill="1" applyBorder="1" applyAlignment="1" applyProtection="1">
      <alignment horizontal="center"/>
      <protection locked="0"/>
    </xf>
    <xf numFmtId="165" fontId="2" fillId="2" borderId="25" xfId="0" applyNumberFormat="1" applyFont="1" applyFill="1" applyBorder="1" applyAlignment="1">
      <alignment horizontal="center"/>
    </xf>
    <xf numFmtId="165" fontId="2" fillId="2" borderId="38" xfId="0" applyNumberFormat="1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3" xfId="0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center"/>
    </xf>
    <xf numFmtId="165" fontId="3" fillId="3" borderId="20" xfId="0" applyNumberFormat="1" applyFont="1" applyFill="1" applyBorder="1" applyAlignment="1">
      <alignment horizontal="center"/>
    </xf>
    <xf numFmtId="165" fontId="3" fillId="3" borderId="1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2" fillId="2" borderId="36" xfId="0" applyFont="1" applyFill="1" applyBorder="1" applyAlignment="1">
      <alignment horizontal="right"/>
    </xf>
    <xf numFmtId="0" fontId="17" fillId="5" borderId="41" xfId="0" applyFont="1" applyFill="1" applyBorder="1" applyAlignment="1" applyProtection="1">
      <alignment horizontal="center"/>
      <protection locked="0"/>
    </xf>
    <xf numFmtId="0" fontId="2" fillId="2" borderId="42" xfId="0" applyFont="1" applyFill="1" applyBorder="1" applyAlignment="1">
      <alignment horizontal="right"/>
    </xf>
    <xf numFmtId="2" fontId="2" fillId="3" borderId="1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2" fillId="3" borderId="13" xfId="0" applyNumberFormat="1" applyFont="1" applyFill="1" applyBorder="1" applyAlignment="1">
      <alignment horizontal="center"/>
    </xf>
    <xf numFmtId="0" fontId="2" fillId="2" borderId="57" xfId="0" applyFont="1" applyFill="1" applyBorder="1" applyAlignment="1">
      <alignment horizontal="right"/>
    </xf>
    <xf numFmtId="166" fontId="17" fillId="5" borderId="12" xfId="0" applyNumberFormat="1" applyFont="1" applyFill="1" applyBorder="1" applyAlignment="1" applyProtection="1">
      <alignment horizontal="center"/>
      <protection locked="0"/>
    </xf>
    <xf numFmtId="166" fontId="2" fillId="2" borderId="0" xfId="0" applyNumberFormat="1" applyFont="1" applyFill="1"/>
    <xf numFmtId="0" fontId="2" fillId="2" borderId="40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7" xfId="0" applyFont="1" applyFill="1" applyBorder="1" applyAlignment="1">
      <alignment horizontal="right"/>
    </xf>
    <xf numFmtId="2" fontId="2" fillId="3" borderId="17" xfId="0" applyNumberFormat="1" applyFont="1" applyFill="1" applyBorder="1" applyAlignment="1">
      <alignment horizontal="center"/>
    </xf>
    <xf numFmtId="165" fontId="3" fillId="4" borderId="15" xfId="0" applyNumberFormat="1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10" fontId="2" fillId="3" borderId="1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/>
    </xf>
    <xf numFmtId="0" fontId="2" fillId="4" borderId="17" xfId="0" applyFont="1" applyFill="1" applyBorder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71" fontId="17" fillId="5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7" fillId="5" borderId="1" xfId="0" applyFont="1" applyFill="1" applyBorder="1" applyAlignment="1" applyProtection="1">
      <alignment horizontal="center"/>
      <protection locked="0"/>
    </xf>
    <xf numFmtId="10" fontId="2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 vertical="center"/>
    </xf>
    <xf numFmtId="1" fontId="17" fillId="5" borderId="2" xfId="0" applyNumberFormat="1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>
      <alignment horizontal="center"/>
    </xf>
    <xf numFmtId="0" fontId="17" fillId="5" borderId="29" xfId="0" applyFont="1" applyFill="1" applyBorder="1" applyAlignment="1" applyProtection="1">
      <alignment horizontal="center"/>
      <protection locked="0"/>
    </xf>
    <xf numFmtId="10" fontId="2" fillId="2" borderId="4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10" fontId="2" fillId="2" borderId="43" xfId="0" applyNumberFormat="1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/>
    </xf>
    <xf numFmtId="2" fontId="18" fillId="2" borderId="43" xfId="0" applyNumberFormat="1" applyFont="1" applyFill="1" applyBorder="1" applyAlignment="1">
      <alignment horizontal="center"/>
    </xf>
    <xf numFmtId="10" fontId="2" fillId="2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right"/>
    </xf>
    <xf numFmtId="10" fontId="17" fillId="4" borderId="8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17" fillId="4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67" fontId="17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7" fillId="5" borderId="0" xfId="0" applyFont="1" applyFill="1" applyAlignment="1" applyProtection="1">
      <alignment horizontal="center"/>
      <protection locked="0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165" fontId="17" fillId="5" borderId="9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right"/>
    </xf>
    <xf numFmtId="1" fontId="3" fillId="3" borderId="50" xfId="0" applyNumberFormat="1" applyFont="1" applyFill="1" applyBorder="1" applyAlignment="1">
      <alignment horizontal="center"/>
    </xf>
    <xf numFmtId="1" fontId="3" fillId="3" borderId="33" xfId="0" applyNumberFormat="1" applyFont="1" applyFill="1" applyBorder="1" applyAlignment="1">
      <alignment horizontal="center"/>
    </xf>
    <xf numFmtId="165" fontId="3" fillId="3" borderId="17" xfId="0" applyNumberFormat="1" applyFont="1" applyFill="1" applyBorder="1" applyAlignment="1">
      <alignment horizontal="center"/>
    </xf>
    <xf numFmtId="0" fontId="2" fillId="2" borderId="48" xfId="0" applyFont="1" applyFill="1" applyBorder="1" applyAlignment="1">
      <alignment horizontal="right"/>
    </xf>
    <xf numFmtId="0" fontId="17" fillId="5" borderId="49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/>
    </xf>
    <xf numFmtId="2" fontId="2" fillId="3" borderId="2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166" fontId="2" fillId="3" borderId="27" xfId="0" applyNumberFormat="1" applyFont="1" applyFill="1" applyBorder="1" applyAlignment="1">
      <alignment horizontal="center"/>
    </xf>
    <xf numFmtId="0" fontId="9" fillId="2" borderId="0" xfId="0" applyFont="1" applyFill="1"/>
    <xf numFmtId="166" fontId="2" fillId="4" borderId="27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2" fillId="2" borderId="47" xfId="0" applyFont="1" applyFill="1" applyBorder="1" applyAlignment="1">
      <alignment horizontal="right"/>
    </xf>
    <xf numFmtId="2" fontId="2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2" borderId="41" xfId="0" applyFont="1" applyFill="1" applyBorder="1" applyAlignment="1">
      <alignment horizontal="right"/>
    </xf>
    <xf numFmtId="165" fontId="3" fillId="4" borderId="41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5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1" fontId="17" fillId="5" borderId="24" xfId="0" applyNumberFormat="1" applyFont="1" applyFill="1" applyBorder="1" applyAlignment="1" applyProtection="1">
      <alignment horizontal="center"/>
      <protection locked="0"/>
    </xf>
    <xf numFmtId="10" fontId="2" fillId="2" borderId="6" xfId="0" applyNumberFormat="1" applyFont="1" applyFill="1" applyBorder="1" applyAlignment="1">
      <alignment horizontal="center"/>
    </xf>
    <xf numFmtId="10" fontId="2" fillId="2" borderId="37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" fontId="17" fillId="5" borderId="25" xfId="0" applyNumberFormat="1" applyFont="1" applyFill="1" applyBorder="1" applyAlignment="1" applyProtection="1">
      <alignment horizontal="center"/>
      <protection locked="0"/>
    </xf>
    <xf numFmtId="10" fontId="2" fillId="2" borderId="38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2" fillId="2" borderId="26" xfId="0" applyNumberFormat="1" applyFont="1" applyFill="1" applyBorder="1" applyAlignment="1">
      <alignment horizontal="right"/>
    </xf>
    <xf numFmtId="10" fontId="17" fillId="4" borderId="27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8" xfId="0" applyFont="1" applyFill="1" applyBorder="1"/>
    <xf numFmtId="10" fontId="17" fillId="3" borderId="27" xfId="0" applyNumberFormat="1" applyFont="1" applyFill="1" applyBorder="1" applyAlignment="1">
      <alignment horizontal="center"/>
    </xf>
    <xf numFmtId="0" fontId="2" fillId="2" borderId="29" xfId="0" applyFont="1" applyFill="1" applyBorder="1"/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right"/>
    </xf>
    <xf numFmtId="0" fontId="17" fillId="4" borderId="13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2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2" fillId="2" borderId="35" xfId="0" applyFont="1" applyFill="1" applyBorder="1"/>
    <xf numFmtId="0" fontId="2" fillId="2" borderId="35" xfId="0" applyFont="1" applyFill="1" applyBorder="1"/>
    <xf numFmtId="0" fontId="3" fillId="2" borderId="42" xfId="0" applyFont="1" applyFill="1" applyBorder="1"/>
    <xf numFmtId="0" fontId="2" fillId="2" borderId="42" xfId="0" applyFont="1" applyFill="1" applyBorder="1"/>
    <xf numFmtId="0" fontId="8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166" fontId="3" fillId="2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Protection="1">
      <protection locked="0"/>
    </xf>
    <xf numFmtId="166" fontId="2" fillId="2" borderId="1" xfId="0" applyNumberFormat="1" applyFont="1" applyFill="1" applyBorder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166" fontId="2" fillId="2" borderId="15" xfId="0" applyNumberFormat="1" applyFont="1" applyFill="1" applyBorder="1" applyAlignment="1">
      <alignment horizontal="center"/>
    </xf>
    <xf numFmtId="166" fontId="2" fillId="2" borderId="16" xfId="0" applyNumberFormat="1" applyFont="1" applyFill="1" applyBorder="1" applyAlignment="1">
      <alignment horizontal="center"/>
    </xf>
    <xf numFmtId="166" fontId="2" fillId="2" borderId="17" xfId="0" applyNumberFormat="1" applyFont="1" applyFill="1" applyBorder="1" applyAlignment="1">
      <alignment horizontal="center"/>
    </xf>
    <xf numFmtId="10" fontId="17" fillId="3" borderId="18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166" fontId="2" fillId="2" borderId="24" xfId="0" applyNumberFormat="1" applyFont="1" applyFill="1" applyBorder="1" applyAlignment="1">
      <alignment horizontal="center"/>
    </xf>
    <xf numFmtId="166" fontId="2" fillId="2" borderId="25" xfId="0" applyNumberFormat="1" applyFont="1" applyFill="1" applyBorder="1" applyAlignment="1">
      <alignment horizontal="center"/>
    </xf>
    <xf numFmtId="0" fontId="12" fillId="2" borderId="0" xfId="1" applyFont="1" applyFill="1"/>
    <xf numFmtId="0" fontId="9" fillId="2" borderId="0" xfId="1" applyFont="1" applyFill="1"/>
    <xf numFmtId="0" fontId="9" fillId="2" borderId="0" xfId="1" applyFont="1" applyFill="1" applyAlignment="1">
      <alignment horizontal="right"/>
    </xf>
    <xf numFmtId="0" fontId="13" fillId="2" borderId="0" xfId="1" applyFont="1" applyFill="1"/>
    <xf numFmtId="0" fontId="13" fillId="2" borderId="0" xfId="1" applyFont="1" applyFill="1" applyAlignment="1">
      <alignment horizontal="left"/>
    </xf>
    <xf numFmtId="0" fontId="14" fillId="2" borderId="0" xfId="1" applyFont="1" applyFill="1" applyAlignment="1">
      <alignment horizontal="left"/>
    </xf>
    <xf numFmtId="0" fontId="14" fillId="2" borderId="0" xfId="1" applyFont="1" applyFill="1" applyAlignment="1">
      <alignment horizontal="center"/>
    </xf>
    <xf numFmtId="0" fontId="10" fillId="2" borderId="0" xfId="1" applyFont="1" applyFill="1"/>
    <xf numFmtId="0" fontId="14" fillId="2" borderId="0" xfId="1" applyFont="1" applyFill="1"/>
    <xf numFmtId="2" fontId="14" fillId="2" borderId="0" xfId="1" applyNumberFormat="1" applyFont="1" applyFill="1" applyAlignment="1">
      <alignment horizontal="center"/>
    </xf>
    <xf numFmtId="0" fontId="14" fillId="2" borderId="58" xfId="1" applyFont="1" applyFill="1" applyBorder="1" applyAlignment="1">
      <alignment horizontal="center"/>
    </xf>
    <xf numFmtId="0" fontId="14" fillId="2" borderId="26" xfId="1" applyFont="1" applyFill="1" applyBorder="1" applyAlignment="1">
      <alignment horizontal="center"/>
    </xf>
    <xf numFmtId="0" fontId="10" fillId="2" borderId="45" xfId="1" applyFont="1" applyFill="1" applyBorder="1" applyAlignment="1">
      <alignment horizontal="center"/>
    </xf>
    <xf numFmtId="0" fontId="24" fillId="5" borderId="45" xfId="1" applyFont="1" applyFill="1" applyBorder="1" applyAlignment="1" applyProtection="1">
      <alignment horizontal="center"/>
      <protection locked="0"/>
    </xf>
    <xf numFmtId="2" fontId="24" fillId="5" borderId="45" xfId="1" applyNumberFormat="1" applyFont="1" applyFill="1" applyBorder="1" applyAlignment="1" applyProtection="1">
      <alignment horizontal="center"/>
      <protection locked="0"/>
    </xf>
    <xf numFmtId="2" fontId="24" fillId="5" borderId="44" xfId="1" applyNumberFormat="1" applyFont="1" applyFill="1" applyBorder="1" applyAlignment="1" applyProtection="1">
      <alignment horizontal="center"/>
      <protection locked="0"/>
    </xf>
    <xf numFmtId="0" fontId="24" fillId="5" borderId="46" xfId="1" applyFont="1" applyFill="1" applyBorder="1" applyAlignment="1" applyProtection="1">
      <alignment horizontal="center"/>
      <protection locked="0"/>
    </xf>
    <xf numFmtId="2" fontId="24" fillId="5" borderId="46" xfId="1" applyNumberFormat="1" applyFont="1" applyFill="1" applyBorder="1" applyAlignment="1" applyProtection="1">
      <alignment horizontal="center"/>
      <protection locked="0"/>
    </xf>
    <xf numFmtId="0" fontId="10" fillId="2" borderId="44" xfId="1" applyFont="1" applyFill="1" applyBorder="1"/>
    <xf numFmtId="1" fontId="14" fillId="6" borderId="26" xfId="1" applyNumberFormat="1" applyFont="1" applyFill="1" applyBorder="1" applyAlignment="1">
      <alignment horizontal="center"/>
    </xf>
    <xf numFmtId="1" fontId="14" fillId="6" borderId="58" xfId="1" applyNumberFormat="1" applyFont="1" applyFill="1" applyBorder="1" applyAlignment="1">
      <alignment horizontal="center"/>
    </xf>
    <xf numFmtId="2" fontId="14" fillId="6" borderId="58" xfId="1" applyNumberFormat="1" applyFont="1" applyFill="1" applyBorder="1" applyAlignment="1">
      <alignment horizontal="center"/>
    </xf>
    <xf numFmtId="0" fontId="10" fillId="2" borderId="45" xfId="1" applyFont="1" applyFill="1" applyBorder="1"/>
    <xf numFmtId="10" fontId="14" fillId="7" borderId="58" xfId="1" applyNumberFormat="1" applyFont="1" applyFill="1" applyBorder="1" applyAlignment="1">
      <alignment horizontal="center"/>
    </xf>
    <xf numFmtId="167" fontId="14" fillId="2" borderId="0" xfId="1" applyNumberFormat="1" applyFont="1" applyFill="1" applyAlignment="1">
      <alignment horizontal="center"/>
    </xf>
    <xf numFmtId="0" fontId="10" fillId="2" borderId="28" xfId="1" applyFont="1" applyFill="1" applyBorder="1"/>
    <xf numFmtId="0" fontId="10" fillId="2" borderId="46" xfId="1" applyFont="1" applyFill="1" applyBorder="1"/>
    <xf numFmtId="0" fontId="14" fillId="6" borderId="58" xfId="1" applyFont="1" applyFill="1" applyBorder="1" applyAlignment="1">
      <alignment horizontal="center"/>
    </xf>
    <xf numFmtId="0" fontId="14" fillId="2" borderId="35" xfId="1" applyFont="1" applyFill="1" applyBorder="1" applyAlignment="1">
      <alignment horizontal="center"/>
    </xf>
    <xf numFmtId="0" fontId="10" fillId="2" borderId="35" xfId="1" applyFont="1" applyFill="1" applyBorder="1"/>
    <xf numFmtId="0" fontId="10" fillId="2" borderId="59" xfId="1" applyFont="1" applyFill="1" applyBorder="1"/>
    <xf numFmtId="0" fontId="10" fillId="2" borderId="0" xfId="1" applyFont="1" applyFill="1" applyAlignment="1" applyProtection="1">
      <alignment horizontal="left"/>
      <protection locked="0"/>
    </xf>
    <xf numFmtId="0" fontId="10" fillId="2" borderId="0" xfId="1" applyFont="1" applyFill="1" applyProtection="1">
      <protection locked="0"/>
    </xf>
    <xf numFmtId="0" fontId="9" fillId="2" borderId="39" xfId="1" applyFont="1" applyFill="1" applyBorder="1"/>
    <xf numFmtId="0" fontId="9" fillId="2" borderId="0" xfId="1" applyFont="1" applyFill="1" applyAlignment="1">
      <alignment horizontal="center"/>
    </xf>
    <xf numFmtId="10" fontId="9" fillId="2" borderId="39" xfId="1" applyNumberFormat="1" applyFont="1" applyFill="1" applyBorder="1"/>
    <xf numFmtId="0" fontId="23" fillId="2" borderId="0" xfId="1" applyFill="1"/>
    <xf numFmtId="0" fontId="12" fillId="2" borderId="34" xfId="1" applyFont="1" applyFill="1" applyBorder="1" applyAlignment="1">
      <alignment horizontal="center"/>
    </xf>
    <xf numFmtId="0" fontId="9" fillId="2" borderId="34" xfId="1" applyFont="1" applyFill="1" applyBorder="1" applyAlignment="1">
      <alignment horizontal="center"/>
    </xf>
    <xf numFmtId="0" fontId="12" fillId="2" borderId="0" xfId="1" applyFont="1" applyFill="1" applyAlignment="1">
      <alignment horizontal="right"/>
    </xf>
    <xf numFmtId="0" fontId="9" fillId="2" borderId="35" xfId="1" applyFont="1" applyFill="1" applyBorder="1"/>
    <xf numFmtId="0" fontId="12" fillId="2" borderId="42" xfId="1" applyFont="1" applyFill="1" applyBorder="1"/>
    <xf numFmtId="0" fontId="9" fillId="2" borderId="42" xfId="1" applyFont="1" applyFill="1" applyBorder="1"/>
    <xf numFmtId="2" fontId="25" fillId="2" borderId="0" xfId="1" applyNumberFormat="1" applyFont="1" applyFill="1" applyAlignment="1">
      <alignment horizontal="center"/>
    </xf>
    <xf numFmtId="0" fontId="25" fillId="2" borderId="0" xfId="1" applyFont="1" applyFill="1" applyAlignment="1">
      <alignment horizontal="left"/>
    </xf>
    <xf numFmtId="165" fontId="14" fillId="2" borderId="0" xfId="1" applyNumberFormat="1" applyFont="1" applyFill="1" applyAlignment="1">
      <alignment horizontal="center"/>
    </xf>
    <xf numFmtId="0" fontId="27" fillId="2" borderId="0" xfId="1" applyFont="1" applyFill="1"/>
    <xf numFmtId="0" fontId="1" fillId="2" borderId="0" xfId="1" applyFont="1" applyFill="1" applyAlignment="1">
      <alignment horizontal="center"/>
    </xf>
    <xf numFmtId="0" fontId="12" fillId="2" borderId="34" xfId="1" applyFont="1" applyFill="1" applyBorder="1" applyAlignment="1">
      <alignment horizontal="center"/>
    </xf>
    <xf numFmtId="0" fontId="26" fillId="5" borderId="0" xfId="0" applyFont="1" applyFill="1" applyAlignment="1" applyProtection="1">
      <alignment horizontal="left" wrapText="1"/>
      <protection locked="0"/>
    </xf>
    <xf numFmtId="166" fontId="14" fillId="2" borderId="15" xfId="0" applyNumberFormat="1" applyFont="1" applyFill="1" applyBorder="1" applyAlignment="1">
      <alignment horizontal="center" vertical="center"/>
    </xf>
    <xf numFmtId="166" fontId="14" fillId="2" borderId="17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6" fillId="2" borderId="52" xfId="0" applyFont="1" applyFill="1" applyBorder="1" applyAlignment="1">
      <alignment horizontal="center" wrapText="1"/>
    </xf>
    <xf numFmtId="0" fontId="16" fillId="2" borderId="53" xfId="0" applyFont="1" applyFill="1" applyBorder="1" applyAlignment="1">
      <alignment horizontal="center" wrapText="1"/>
    </xf>
    <xf numFmtId="0" fontId="16" fillId="2" borderId="54" xfId="0" applyFont="1" applyFill="1" applyBorder="1" applyAlignment="1">
      <alignment horizontal="center" wrapText="1"/>
    </xf>
    <xf numFmtId="168" fontId="12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0" fontId="8" fillId="2" borderId="43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justify" vertical="center" wrapText="1"/>
    </xf>
    <xf numFmtId="0" fontId="8" fillId="2" borderId="53" xfId="0" applyFont="1" applyFill="1" applyBorder="1" applyAlignment="1">
      <alignment horizontal="justify" vertical="center" wrapText="1"/>
    </xf>
    <xf numFmtId="0" fontId="8" fillId="2" borderId="54" xfId="0" applyFont="1" applyFill="1" applyBorder="1" applyAlignment="1">
      <alignment horizontal="justify" vertical="center" wrapText="1"/>
    </xf>
    <xf numFmtId="0" fontId="8" fillId="2" borderId="52" xfId="0" applyFont="1" applyFill="1" applyBorder="1" applyAlignment="1">
      <alignment horizontal="left" vertical="center" wrapText="1"/>
    </xf>
    <xf numFmtId="0" fontId="8" fillId="2" borderId="53" xfId="0" applyFont="1" applyFill="1" applyBorder="1" applyAlignment="1">
      <alignment horizontal="left" vertical="center" wrapText="1"/>
    </xf>
    <xf numFmtId="0" fontId="8" fillId="2" borderId="54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10" fontId="5" fillId="2" borderId="16" xfId="0" applyNumberFormat="1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2" fontId="17" fillId="5" borderId="15" xfId="0" applyNumberFormat="1" applyFont="1" applyFill="1" applyBorder="1" applyAlignment="1" applyProtection="1">
      <alignment horizontal="center" vertical="center"/>
      <protection locked="0"/>
    </xf>
    <xf numFmtId="2" fontId="17" fillId="5" borderId="16" xfId="0" applyNumberFormat="1" applyFont="1" applyFill="1" applyBorder="1" applyAlignment="1" applyProtection="1">
      <alignment horizontal="center" vertical="center"/>
      <protection locked="0"/>
    </xf>
    <xf numFmtId="2" fontId="17" fillId="5" borderId="17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  <xf numFmtId="0" fontId="17" fillId="5" borderId="0" xfId="0" applyFont="1" applyFill="1" applyAlignment="1" applyProtection="1">
      <alignment horizontal="left"/>
      <protection locked="0"/>
    </xf>
    <xf numFmtId="0" fontId="3" fillId="2" borderId="39" xfId="0" applyFont="1" applyFill="1" applyBorder="1" applyAlignment="1">
      <alignment horizontal="center" vertical="center"/>
    </xf>
    <xf numFmtId="0" fontId="18" fillId="5" borderId="0" xfId="0" applyFont="1" applyFill="1" applyAlignment="1" applyProtection="1">
      <alignment horizontal="left"/>
      <protection locked="0"/>
    </xf>
    <xf numFmtId="0" fontId="3" fillId="2" borderId="36" xfId="0" applyFont="1" applyFill="1" applyBorder="1" applyAlignment="1">
      <alignment horizontal="center"/>
    </xf>
    <xf numFmtId="0" fontId="17" fillId="5" borderId="0" xfId="0" applyFont="1" applyFill="1" applyAlignment="1" applyProtection="1">
      <alignment horizontal="left" wrapText="1"/>
      <protection locked="0"/>
    </xf>
    <xf numFmtId="0" fontId="8" fillId="2" borderId="52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center"/>
    </xf>
    <xf numFmtId="0" fontId="8" fillId="2" borderId="54" xfId="0" applyFont="1" applyFill="1" applyBorder="1" applyAlignment="1">
      <alignment horizontal="center"/>
    </xf>
    <xf numFmtId="0" fontId="21" fillId="2" borderId="34" xfId="0" applyFont="1" applyFill="1" applyBorder="1" applyAlignment="1">
      <alignment horizontal="center" vertical="center"/>
    </xf>
    <xf numFmtId="0" fontId="18" fillId="5" borderId="0" xfId="0" applyFont="1" applyFill="1" applyAlignment="1" applyProtection="1">
      <alignment horizontal="left" wrapText="1"/>
      <protection locked="0"/>
    </xf>
    <xf numFmtId="0" fontId="28" fillId="5" borderId="0" xfId="0" applyFont="1" applyFill="1" applyAlignment="1" applyProtection="1">
      <alignment horizontal="left" wrapText="1"/>
      <protection locked="0"/>
    </xf>
    <xf numFmtId="166" fontId="14" fillId="2" borderId="0" xfId="1" applyNumberFormat="1" applyFont="1" applyFill="1" applyAlignment="1">
      <alignment horizontal="center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4" workbookViewId="0">
      <selection activeCell="B51" sqref="B51"/>
    </sheetView>
  </sheetViews>
  <sheetFormatPr defaultRowHeight="13.5" x14ac:dyDescent="0.25"/>
  <cols>
    <col min="1" max="1" width="27.5703125" style="235" customWidth="1"/>
    <col min="2" max="2" width="20.42578125" style="235" customWidth="1"/>
    <col min="3" max="3" width="31.85546875" style="235" customWidth="1"/>
    <col min="4" max="4" width="25.85546875" style="235" customWidth="1"/>
    <col min="5" max="5" width="25.7109375" style="235" customWidth="1"/>
    <col min="6" max="6" width="23.140625" style="235" customWidth="1"/>
    <col min="7" max="7" width="28.42578125" style="235" customWidth="1"/>
    <col min="8" max="8" width="21.5703125" style="235" customWidth="1"/>
    <col min="9" max="9" width="9.140625" style="235" customWidth="1"/>
    <col min="10" max="16384" width="9.140625" style="270"/>
  </cols>
  <sheetData>
    <row r="14" spans="1:6" ht="15" customHeight="1" x14ac:dyDescent="0.3">
      <c r="A14" s="234"/>
      <c r="C14" s="236"/>
      <c r="F14" s="236"/>
    </row>
    <row r="15" spans="1:6" ht="18.75" customHeight="1" x14ac:dyDescent="0.3">
      <c r="A15" s="281" t="s">
        <v>106</v>
      </c>
      <c r="B15" s="281"/>
      <c r="C15" s="281"/>
      <c r="D15" s="281"/>
      <c r="E15" s="281"/>
    </row>
    <row r="16" spans="1:6" ht="16.5" customHeight="1" x14ac:dyDescent="0.3">
      <c r="A16" s="237" t="s">
        <v>7</v>
      </c>
      <c r="B16" s="238" t="s">
        <v>107</v>
      </c>
    </row>
    <row r="17" spans="1:5" ht="16.5" customHeight="1" x14ac:dyDescent="0.3">
      <c r="A17" s="239" t="s">
        <v>108</v>
      </c>
      <c r="B17" s="278" t="s">
        <v>123</v>
      </c>
      <c r="D17" s="240"/>
      <c r="E17" s="241"/>
    </row>
    <row r="18" spans="1:5" ht="16.5" customHeight="1" x14ac:dyDescent="0.3">
      <c r="A18" s="242" t="s">
        <v>8</v>
      </c>
      <c r="B18" s="283" t="s">
        <v>105</v>
      </c>
      <c r="C18" s="283"/>
      <c r="D18" s="241"/>
      <c r="E18" s="241"/>
    </row>
    <row r="19" spans="1:5" ht="16.5" customHeight="1" x14ac:dyDescent="0.3">
      <c r="A19" s="242" t="s">
        <v>10</v>
      </c>
      <c r="B19" s="277" t="s">
        <v>124</v>
      </c>
      <c r="C19" s="241"/>
      <c r="D19" s="241"/>
      <c r="E19" s="241"/>
    </row>
    <row r="20" spans="1:5" ht="16.5" customHeight="1" x14ac:dyDescent="0.3">
      <c r="A20" s="239" t="s">
        <v>109</v>
      </c>
      <c r="B20" s="243">
        <v>25.65</v>
      </c>
      <c r="C20" s="241"/>
      <c r="D20" s="241"/>
      <c r="E20" s="241"/>
    </row>
    <row r="21" spans="1:5" ht="16.5" customHeight="1" x14ac:dyDescent="0.3">
      <c r="A21" s="239" t="s">
        <v>110</v>
      </c>
      <c r="B21" s="279">
        <v>0.1</v>
      </c>
      <c r="C21" s="241"/>
      <c r="D21" s="241"/>
      <c r="E21" s="241"/>
    </row>
    <row r="22" spans="1:5" ht="15.75" customHeight="1" x14ac:dyDescent="0.25">
      <c r="A22" s="241"/>
      <c r="B22" s="241"/>
      <c r="C22" s="241"/>
      <c r="D22" s="241"/>
      <c r="E22" s="241"/>
    </row>
    <row r="23" spans="1:5" ht="16.5" customHeight="1" x14ac:dyDescent="0.3">
      <c r="A23" s="244" t="s">
        <v>111</v>
      </c>
      <c r="B23" s="245" t="s">
        <v>112</v>
      </c>
      <c r="C23" s="244" t="s">
        <v>113</v>
      </c>
      <c r="D23" s="244" t="s">
        <v>114</v>
      </c>
      <c r="E23" s="244" t="s">
        <v>115</v>
      </c>
    </row>
    <row r="24" spans="1:5" ht="16.5" customHeight="1" x14ac:dyDescent="0.3">
      <c r="A24" s="246">
        <v>1</v>
      </c>
      <c r="B24" s="247">
        <v>53004124</v>
      </c>
      <c r="C24" s="247">
        <v>11571</v>
      </c>
      <c r="D24" s="248">
        <v>0.89</v>
      </c>
      <c r="E24" s="249">
        <v>7.46</v>
      </c>
    </row>
    <row r="25" spans="1:5" ht="16.5" customHeight="1" x14ac:dyDescent="0.3">
      <c r="A25" s="246">
        <v>2</v>
      </c>
      <c r="B25" s="247">
        <v>52795498</v>
      </c>
      <c r="C25" s="247">
        <v>11588</v>
      </c>
      <c r="D25" s="248">
        <v>0.89</v>
      </c>
      <c r="E25" s="248">
        <v>7.45</v>
      </c>
    </row>
    <row r="26" spans="1:5" ht="16.5" customHeight="1" x14ac:dyDescent="0.3">
      <c r="A26" s="246">
        <v>3</v>
      </c>
      <c r="B26" s="247">
        <v>52638351</v>
      </c>
      <c r="C26" s="247">
        <v>11500</v>
      </c>
      <c r="D26" s="248">
        <v>0.88</v>
      </c>
      <c r="E26" s="248">
        <v>7.45</v>
      </c>
    </row>
    <row r="27" spans="1:5" ht="16.5" customHeight="1" x14ac:dyDescent="0.3">
      <c r="A27" s="246">
        <v>4</v>
      </c>
      <c r="B27" s="247">
        <v>52576558</v>
      </c>
      <c r="C27" s="247">
        <v>11494</v>
      </c>
      <c r="D27" s="248">
        <v>0.88</v>
      </c>
      <c r="E27" s="248">
        <v>7.46</v>
      </c>
    </row>
    <row r="28" spans="1:5" ht="16.5" customHeight="1" x14ac:dyDescent="0.3">
      <c r="A28" s="246">
        <v>5</v>
      </c>
      <c r="B28" s="247">
        <v>52853318</v>
      </c>
      <c r="C28" s="247">
        <v>11506</v>
      </c>
      <c r="D28" s="248">
        <v>0.89</v>
      </c>
      <c r="E28" s="248">
        <v>7.45</v>
      </c>
    </row>
    <row r="29" spans="1:5" ht="16.5" customHeight="1" x14ac:dyDescent="0.3">
      <c r="A29" s="246">
        <v>6</v>
      </c>
      <c r="B29" s="250">
        <v>52884074</v>
      </c>
      <c r="C29" s="250">
        <v>11501</v>
      </c>
      <c r="D29" s="251">
        <v>0.88</v>
      </c>
      <c r="E29" s="251">
        <v>7.45</v>
      </c>
    </row>
    <row r="30" spans="1:5" ht="16.5" customHeight="1" x14ac:dyDescent="0.3">
      <c r="A30" s="252" t="s">
        <v>116</v>
      </c>
      <c r="B30" s="253">
        <f>AVERAGE(B24:B29)</f>
        <v>52791987.166666664</v>
      </c>
      <c r="C30" s="254">
        <f>AVERAGE(C24:C29)</f>
        <v>11526.666666666666</v>
      </c>
      <c r="D30" s="255">
        <f>AVERAGE(D24:D29)</f>
        <v>0.8849999999999999</v>
      </c>
      <c r="E30" s="255">
        <f>AVERAGE(E24:E29)</f>
        <v>7.453333333333334</v>
      </c>
    </row>
    <row r="31" spans="1:5" ht="16.5" customHeight="1" x14ac:dyDescent="0.3">
      <c r="A31" s="256" t="s">
        <v>117</v>
      </c>
      <c r="B31" s="257">
        <f>(STDEV(B24:B29)/B30)</f>
        <v>3.0221036415381377E-3</v>
      </c>
      <c r="C31" s="258"/>
      <c r="D31" s="258"/>
      <c r="E31" s="259"/>
    </row>
    <row r="32" spans="1:5" s="235" customFormat="1" ht="16.5" customHeight="1" x14ac:dyDescent="0.3">
      <c r="A32" s="260" t="s">
        <v>41</v>
      </c>
      <c r="B32" s="261">
        <f>COUNT(B24:B29)</f>
        <v>6</v>
      </c>
      <c r="C32" s="262"/>
      <c r="D32" s="263"/>
      <c r="E32" s="264"/>
    </row>
    <row r="33" spans="1:5" s="235" customFormat="1" ht="15.75" customHeight="1" x14ac:dyDescent="0.25">
      <c r="A33" s="241"/>
      <c r="B33" s="241"/>
      <c r="C33" s="241"/>
      <c r="D33" s="241"/>
      <c r="E33" s="241"/>
    </row>
    <row r="34" spans="1:5" s="235" customFormat="1" ht="16.5" customHeight="1" x14ac:dyDescent="0.3">
      <c r="A34" s="242" t="s">
        <v>118</v>
      </c>
      <c r="B34" s="265" t="s">
        <v>119</v>
      </c>
      <c r="C34" s="266"/>
      <c r="D34" s="266"/>
      <c r="E34" s="266"/>
    </row>
    <row r="35" spans="1:5" ht="16.5" customHeight="1" x14ac:dyDescent="0.3">
      <c r="A35" s="242"/>
      <c r="B35" s="265" t="s">
        <v>120</v>
      </c>
      <c r="C35" s="266"/>
      <c r="D35" s="266"/>
      <c r="E35" s="266"/>
    </row>
    <row r="36" spans="1:5" ht="16.5" customHeight="1" x14ac:dyDescent="0.3">
      <c r="A36" s="242"/>
      <c r="B36" s="265" t="s">
        <v>121</v>
      </c>
      <c r="C36" s="266"/>
      <c r="D36" s="266"/>
      <c r="E36" s="266"/>
    </row>
    <row r="37" spans="1:5" ht="15.75" customHeight="1" x14ac:dyDescent="0.25">
      <c r="A37" s="241"/>
      <c r="B37" s="241"/>
      <c r="C37" s="241"/>
      <c r="D37" s="241"/>
      <c r="E37" s="241"/>
    </row>
    <row r="38" spans="1:5" ht="16.5" customHeight="1" x14ac:dyDescent="0.3">
      <c r="A38" s="237" t="s">
        <v>7</v>
      </c>
      <c r="B38" s="238" t="s">
        <v>122</v>
      </c>
      <c r="C38" s="280"/>
    </row>
    <row r="39" spans="1:5" ht="16.5" customHeight="1" x14ac:dyDescent="0.3">
      <c r="A39" s="242" t="s">
        <v>8</v>
      </c>
      <c r="B39" s="331" t="s">
        <v>105</v>
      </c>
      <c r="C39" s="331"/>
      <c r="D39" s="241"/>
      <c r="E39" s="241"/>
    </row>
    <row r="40" spans="1:5" ht="16.5" customHeight="1" x14ac:dyDescent="0.3">
      <c r="A40" s="242" t="s">
        <v>10</v>
      </c>
      <c r="B40" s="277">
        <v>99.8</v>
      </c>
      <c r="C40" s="241"/>
      <c r="D40" s="241"/>
      <c r="E40" s="241"/>
    </row>
    <row r="41" spans="1:5" ht="16.5" customHeight="1" x14ac:dyDescent="0.3">
      <c r="A41" s="239" t="s">
        <v>109</v>
      </c>
      <c r="B41" s="243">
        <v>24.46</v>
      </c>
      <c r="C41" s="241"/>
      <c r="D41" s="241"/>
      <c r="E41" s="241"/>
    </row>
    <row r="42" spans="1:5" ht="16.5" customHeight="1" x14ac:dyDescent="0.3">
      <c r="A42" s="239" t="s">
        <v>110</v>
      </c>
      <c r="B42" s="332">
        <f>10/900*10/20</f>
        <v>5.5555555555555558E-3</v>
      </c>
      <c r="C42" s="241"/>
      <c r="D42" s="241"/>
      <c r="E42" s="241"/>
    </row>
    <row r="43" spans="1:5" ht="15.75" customHeight="1" x14ac:dyDescent="0.25">
      <c r="A43" s="241"/>
      <c r="B43" s="241"/>
      <c r="C43" s="241"/>
      <c r="D43" s="241"/>
      <c r="E43" s="241"/>
    </row>
    <row r="44" spans="1:5" ht="16.5" customHeight="1" x14ac:dyDescent="0.3">
      <c r="A44" s="244" t="s">
        <v>111</v>
      </c>
      <c r="B44" s="245" t="s">
        <v>112</v>
      </c>
      <c r="C44" s="244" t="s">
        <v>113</v>
      </c>
      <c r="D44" s="244" t="s">
        <v>114</v>
      </c>
      <c r="E44" s="244" t="s">
        <v>115</v>
      </c>
    </row>
    <row r="45" spans="1:5" ht="16.5" customHeight="1" x14ac:dyDescent="0.3">
      <c r="A45" s="246">
        <v>1</v>
      </c>
      <c r="B45" s="247">
        <v>2588555</v>
      </c>
      <c r="C45" s="247">
        <v>13612</v>
      </c>
      <c r="D45" s="248">
        <v>1.18</v>
      </c>
      <c r="E45" s="249">
        <v>8.64</v>
      </c>
    </row>
    <row r="46" spans="1:5" ht="16.5" customHeight="1" x14ac:dyDescent="0.3">
      <c r="A46" s="246">
        <v>2</v>
      </c>
      <c r="B46" s="247">
        <v>2595016</v>
      </c>
      <c r="C46" s="247">
        <v>13886</v>
      </c>
      <c r="D46" s="248">
        <v>1.17</v>
      </c>
      <c r="E46" s="248">
        <v>8.61</v>
      </c>
    </row>
    <row r="47" spans="1:5" ht="16.5" customHeight="1" x14ac:dyDescent="0.3">
      <c r="A47" s="246">
        <v>3</v>
      </c>
      <c r="B47" s="247">
        <v>2593372</v>
      </c>
      <c r="C47" s="247">
        <v>13905</v>
      </c>
      <c r="D47" s="248">
        <v>1.18</v>
      </c>
      <c r="E47" s="248">
        <v>8.61</v>
      </c>
    </row>
    <row r="48" spans="1:5" ht="16.5" customHeight="1" x14ac:dyDescent="0.3">
      <c r="A48" s="246">
        <v>4</v>
      </c>
      <c r="B48" s="247">
        <v>2594622</v>
      </c>
      <c r="C48" s="247">
        <v>13941</v>
      </c>
      <c r="D48" s="248">
        <v>1.19</v>
      </c>
      <c r="E48" s="248">
        <v>8.61</v>
      </c>
    </row>
    <row r="49" spans="1:7" ht="16.5" customHeight="1" x14ac:dyDescent="0.3">
      <c r="A49" s="246">
        <v>5</v>
      </c>
      <c r="B49" s="247">
        <v>2586636</v>
      </c>
      <c r="C49" s="247">
        <v>13907</v>
      </c>
      <c r="D49" s="248">
        <v>1.18</v>
      </c>
      <c r="E49" s="248">
        <v>8.61</v>
      </c>
    </row>
    <row r="50" spans="1:7" ht="16.5" customHeight="1" x14ac:dyDescent="0.3">
      <c r="A50" s="246">
        <v>6</v>
      </c>
      <c r="B50" s="250">
        <v>2594651</v>
      </c>
      <c r="C50" s="250">
        <v>13897</v>
      </c>
      <c r="D50" s="251">
        <v>1.18</v>
      </c>
      <c r="E50" s="251">
        <v>8.61</v>
      </c>
    </row>
    <row r="51" spans="1:7" ht="16.5" customHeight="1" x14ac:dyDescent="0.3">
      <c r="A51" s="252" t="s">
        <v>116</v>
      </c>
      <c r="B51" s="253">
        <f>AVERAGE(B45:B50)</f>
        <v>2592142</v>
      </c>
      <c r="C51" s="254">
        <f>AVERAGE(C45:C50)</f>
        <v>13858</v>
      </c>
      <c r="D51" s="255">
        <f>AVERAGE(D45:D50)</f>
        <v>1.1799999999999997</v>
      </c>
      <c r="E51" s="255">
        <f>AVERAGE(E45:E50)</f>
        <v>8.6150000000000002</v>
      </c>
    </row>
    <row r="52" spans="1:7" ht="16.5" customHeight="1" x14ac:dyDescent="0.3">
      <c r="A52" s="256" t="s">
        <v>117</v>
      </c>
      <c r="B52" s="257">
        <f>(STDEV(B45:B50)/B51)</f>
        <v>1.3952368729340252E-3</v>
      </c>
      <c r="C52" s="258"/>
      <c r="D52" s="258"/>
      <c r="E52" s="259"/>
    </row>
    <row r="53" spans="1:7" s="235" customFormat="1" ht="16.5" customHeight="1" x14ac:dyDescent="0.3">
      <c r="A53" s="260" t="s">
        <v>41</v>
      </c>
      <c r="B53" s="261">
        <f>COUNT(B45:B50)</f>
        <v>6</v>
      </c>
      <c r="C53" s="262"/>
      <c r="D53" s="263"/>
      <c r="E53" s="264"/>
    </row>
    <row r="54" spans="1:7" s="235" customFormat="1" ht="15.75" customHeight="1" x14ac:dyDescent="0.25">
      <c r="A54" s="241"/>
      <c r="B54" s="241"/>
      <c r="C54" s="241"/>
      <c r="D54" s="241"/>
      <c r="E54" s="241"/>
    </row>
    <row r="55" spans="1:7" s="235" customFormat="1" ht="16.5" customHeight="1" x14ac:dyDescent="0.3">
      <c r="A55" s="242" t="s">
        <v>118</v>
      </c>
      <c r="B55" s="265" t="s">
        <v>119</v>
      </c>
      <c r="C55" s="266"/>
      <c r="D55" s="266"/>
      <c r="E55" s="266"/>
    </row>
    <row r="56" spans="1:7" ht="16.5" customHeight="1" x14ac:dyDescent="0.3">
      <c r="A56" s="242"/>
      <c r="B56" s="265" t="s">
        <v>120</v>
      </c>
      <c r="C56" s="266"/>
      <c r="D56" s="266"/>
      <c r="E56" s="266"/>
    </row>
    <row r="57" spans="1:7" ht="16.5" customHeight="1" x14ac:dyDescent="0.3">
      <c r="A57" s="242"/>
      <c r="B57" s="265" t="s">
        <v>121</v>
      </c>
      <c r="C57" s="266"/>
      <c r="D57" s="266"/>
      <c r="E57" s="266"/>
    </row>
    <row r="58" spans="1:7" ht="14.25" customHeight="1" thickBot="1" x14ac:dyDescent="0.3">
      <c r="A58" s="267"/>
      <c r="B58" s="268"/>
      <c r="D58" s="269"/>
      <c r="F58" s="270"/>
      <c r="G58" s="270"/>
    </row>
    <row r="59" spans="1:7" ht="15" customHeight="1" x14ac:dyDescent="0.3">
      <c r="B59" s="282" t="s">
        <v>67</v>
      </c>
      <c r="C59" s="282"/>
      <c r="E59" s="271" t="s">
        <v>68</v>
      </c>
      <c r="F59" s="272"/>
      <c r="G59" s="271" t="s">
        <v>69</v>
      </c>
    </row>
    <row r="60" spans="1:7" ht="15" customHeight="1" x14ac:dyDescent="0.3">
      <c r="A60" s="273" t="s">
        <v>70</v>
      </c>
      <c r="B60" s="274"/>
      <c r="C60" s="274"/>
      <c r="E60" s="274"/>
      <c r="G60" s="274"/>
    </row>
    <row r="61" spans="1:7" ht="15" customHeight="1" x14ac:dyDescent="0.3">
      <c r="A61" s="273" t="s">
        <v>71</v>
      </c>
      <c r="B61" s="275"/>
      <c r="C61" s="275"/>
      <c r="E61" s="275"/>
      <c r="G61" s="276"/>
    </row>
  </sheetData>
  <sheetProtection formatCells="0" formatColumns="0" formatRows="0" insertColumns="0" insertRows="0" insertHyperlinks="0" deleteColumns="0" deleteRows="0" sort="0" autoFilter="0" pivotTables="0"/>
  <mergeCells count="4">
    <mergeCell ref="A15:E15"/>
    <mergeCell ref="B59:C59"/>
    <mergeCell ref="B18:C18"/>
    <mergeCell ref="B39:C3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0" workbookViewId="0">
      <selection activeCell="C49" sqref="C49"/>
    </sheetView>
  </sheetViews>
  <sheetFormatPr defaultRowHeight="18.7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72</v>
      </c>
      <c r="B11" s="288"/>
      <c r="C11" s="288"/>
      <c r="D11" s="288"/>
      <c r="E11" s="288"/>
      <c r="F11" s="289"/>
      <c r="G11" s="43"/>
    </row>
    <row r="12" spans="1:7" ht="16.5" customHeight="1" x14ac:dyDescent="0.3">
      <c r="A12" s="286" t="s">
        <v>73</v>
      </c>
      <c r="B12" s="286"/>
      <c r="C12" s="286"/>
      <c r="D12" s="286"/>
      <c r="E12" s="286"/>
      <c r="F12" s="286"/>
      <c r="G12" s="42"/>
    </row>
    <row r="14" spans="1:7" ht="16.5" customHeight="1" x14ac:dyDescent="0.3">
      <c r="A14" s="291" t="s">
        <v>1</v>
      </c>
      <c r="B14" s="291"/>
      <c r="C14" s="12" t="s">
        <v>123</v>
      </c>
    </row>
    <row r="15" spans="1:7" ht="16.5" customHeight="1" x14ac:dyDescent="0.3">
      <c r="A15" s="291" t="s">
        <v>2</v>
      </c>
      <c r="B15" s="291"/>
      <c r="C15" s="12" t="s">
        <v>124</v>
      </c>
    </row>
    <row r="16" spans="1:7" ht="16.5" customHeight="1" x14ac:dyDescent="0.3">
      <c r="A16" s="291" t="s">
        <v>3</v>
      </c>
      <c r="B16" s="291"/>
      <c r="C16" s="12" t="s">
        <v>126</v>
      </c>
    </row>
    <row r="17" spans="1:5" ht="16.5" customHeight="1" x14ac:dyDescent="0.3">
      <c r="A17" s="291" t="s">
        <v>4</v>
      </c>
      <c r="B17" s="291"/>
      <c r="C17" s="12" t="s">
        <v>125</v>
      </c>
    </row>
    <row r="18" spans="1:5" ht="16.5" customHeight="1" x14ac:dyDescent="0.3">
      <c r="A18" s="291" t="s">
        <v>5</v>
      </c>
      <c r="B18" s="291"/>
      <c r="C18" s="49" t="s">
        <v>74</v>
      </c>
    </row>
    <row r="19" spans="1:5" ht="16.5" customHeight="1" x14ac:dyDescent="0.3">
      <c r="A19" s="291" t="s">
        <v>6</v>
      </c>
      <c r="B19" s="29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6" t="s">
        <v>7</v>
      </c>
      <c r="B21" s="286"/>
      <c r="C21" s="11" t="s">
        <v>75</v>
      </c>
      <c r="D21" s="18"/>
    </row>
    <row r="22" spans="1:5" ht="15.75" customHeight="1" x14ac:dyDescent="0.3">
      <c r="A22" s="290"/>
      <c r="B22" s="290"/>
      <c r="C22" s="9"/>
      <c r="D22" s="290"/>
      <c r="E22" s="290"/>
    </row>
    <row r="23" spans="1:5" ht="33.75" customHeight="1" x14ac:dyDescent="0.3">
      <c r="C23" s="38" t="s">
        <v>76</v>
      </c>
      <c r="D23" s="37" t="s">
        <v>77</v>
      </c>
      <c r="E23" s="4"/>
    </row>
    <row r="24" spans="1:5" ht="15.75" customHeight="1" x14ac:dyDescent="0.3">
      <c r="C24" s="47">
        <v>155.91999999999999</v>
      </c>
      <c r="D24" s="39">
        <f t="shared" ref="D24:D43" si="0">(C24-$C$46)/$C$46</f>
        <v>1.0692258079153106E-2</v>
      </c>
      <c r="E24" s="5"/>
    </row>
    <row r="25" spans="1:5" ht="15.75" customHeight="1" x14ac:dyDescent="0.3">
      <c r="C25" s="47">
        <v>153.66</v>
      </c>
      <c r="D25" s="40">
        <f t="shared" si="0"/>
        <v>-3.9573346816144488E-3</v>
      </c>
      <c r="E25" s="5"/>
    </row>
    <row r="26" spans="1:5" ht="15.75" customHeight="1" x14ac:dyDescent="0.3">
      <c r="C26" s="47">
        <v>152.4</v>
      </c>
      <c r="D26" s="40">
        <f t="shared" si="0"/>
        <v>-1.2124806751776865E-2</v>
      </c>
      <c r="E26" s="5"/>
    </row>
    <row r="27" spans="1:5" ht="15.75" customHeight="1" x14ac:dyDescent="0.3">
      <c r="C27" s="47">
        <v>152.97999999999999</v>
      </c>
      <c r="D27" s="40">
        <f t="shared" si="0"/>
        <v>-8.3651767512259879E-3</v>
      </c>
      <c r="E27" s="5"/>
    </row>
    <row r="28" spans="1:5" ht="15.75" customHeight="1" x14ac:dyDescent="0.3">
      <c r="C28" s="47">
        <v>156.1</v>
      </c>
      <c r="D28" s="40">
        <f t="shared" si="0"/>
        <v>1.1859039803462075E-2</v>
      </c>
      <c r="E28" s="5"/>
    </row>
    <row r="29" spans="1:5" ht="15.75" customHeight="1" x14ac:dyDescent="0.3">
      <c r="C29" s="47">
        <v>149.52000000000001</v>
      </c>
      <c r="D29" s="40">
        <f t="shared" si="0"/>
        <v>-3.0793314340719635E-2</v>
      </c>
      <c r="E29" s="5"/>
    </row>
    <row r="30" spans="1:5" ht="15.75" customHeight="1" x14ac:dyDescent="0.3">
      <c r="C30" s="47">
        <v>162.74</v>
      </c>
      <c r="D30" s="40">
        <f t="shared" si="0"/>
        <v>5.4900321189080288E-2</v>
      </c>
      <c r="E30" s="5"/>
    </row>
    <row r="31" spans="1:5" ht="15.75" customHeight="1" x14ac:dyDescent="0.3">
      <c r="C31" s="47">
        <v>154.62</v>
      </c>
      <c r="D31" s="40">
        <f t="shared" si="0"/>
        <v>2.2655011813665356E-3</v>
      </c>
      <c r="E31" s="5"/>
    </row>
    <row r="32" spans="1:5" ht="15.75" customHeight="1" x14ac:dyDescent="0.3">
      <c r="C32" s="47">
        <v>156.18</v>
      </c>
      <c r="D32" s="40">
        <f t="shared" si="0"/>
        <v>1.2377609458710566E-2</v>
      </c>
      <c r="E32" s="5"/>
    </row>
    <row r="33" spans="1:7" ht="15.75" customHeight="1" x14ac:dyDescent="0.3">
      <c r="C33" s="47">
        <v>152.36000000000001</v>
      </c>
      <c r="D33" s="40">
        <f t="shared" si="0"/>
        <v>-1.2384091579401018E-2</v>
      </c>
      <c r="E33" s="5"/>
    </row>
    <row r="34" spans="1:7" ht="15.75" customHeight="1" x14ac:dyDescent="0.3">
      <c r="C34" s="47">
        <v>150.74</v>
      </c>
      <c r="D34" s="40">
        <f t="shared" si="0"/>
        <v>-2.2885127098181371E-2</v>
      </c>
      <c r="E34" s="5"/>
    </row>
    <row r="35" spans="1:7" ht="15.75" customHeight="1" x14ac:dyDescent="0.3">
      <c r="C35" s="47">
        <v>152.33000000000001</v>
      </c>
      <c r="D35" s="40">
        <f t="shared" si="0"/>
        <v>-1.257855520011918E-2</v>
      </c>
      <c r="E35" s="5"/>
    </row>
    <row r="36" spans="1:7" ht="15.75" customHeight="1" x14ac:dyDescent="0.3">
      <c r="C36" s="47">
        <v>154.06</v>
      </c>
      <c r="D36" s="40">
        <f t="shared" si="0"/>
        <v>-1.3644864053723566E-3</v>
      </c>
      <c r="E36" s="5"/>
    </row>
    <row r="37" spans="1:7" ht="15.75" customHeight="1" x14ac:dyDescent="0.3">
      <c r="C37" s="47">
        <v>157.38</v>
      </c>
      <c r="D37" s="40">
        <f t="shared" si="0"/>
        <v>2.015615428743666E-2</v>
      </c>
      <c r="E37" s="5"/>
    </row>
    <row r="38" spans="1:7" ht="15.75" customHeight="1" x14ac:dyDescent="0.3">
      <c r="C38" s="47">
        <v>153.18</v>
      </c>
      <c r="D38" s="40">
        <f t="shared" si="0"/>
        <v>-7.0687526131048492E-3</v>
      </c>
      <c r="E38" s="5"/>
    </row>
    <row r="39" spans="1:7" ht="15.75" customHeight="1" x14ac:dyDescent="0.3">
      <c r="C39" s="47">
        <v>151</v>
      </c>
      <c r="D39" s="40">
        <f t="shared" si="0"/>
        <v>-2.1199775718624095E-2</v>
      </c>
      <c r="E39" s="5"/>
    </row>
    <row r="40" spans="1:7" ht="15.75" customHeight="1" x14ac:dyDescent="0.3">
      <c r="C40" s="47">
        <v>154.46</v>
      </c>
      <c r="D40" s="40">
        <f t="shared" si="0"/>
        <v>1.2283618708697356E-3</v>
      </c>
      <c r="E40" s="5"/>
    </row>
    <row r="41" spans="1:7" ht="15.75" customHeight="1" x14ac:dyDescent="0.3">
      <c r="C41" s="47">
        <v>158.25</v>
      </c>
      <c r="D41" s="40">
        <f t="shared" si="0"/>
        <v>2.5795599288263159E-2</v>
      </c>
      <c r="E41" s="5"/>
    </row>
    <row r="42" spans="1:7" ht="15.75" customHeight="1" x14ac:dyDescent="0.3">
      <c r="C42" s="47">
        <v>156.15</v>
      </c>
      <c r="D42" s="40">
        <f t="shared" si="0"/>
        <v>1.2183145837992404E-2</v>
      </c>
      <c r="E42" s="5"/>
    </row>
    <row r="43" spans="1:7" ht="16.5" customHeight="1" x14ac:dyDescent="0.3">
      <c r="C43" s="48">
        <v>151.38</v>
      </c>
      <c r="D43" s="41">
        <f t="shared" si="0"/>
        <v>-1.8736569856194173E-2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78</v>
      </c>
      <c r="C45" s="35">
        <f>SUM(C24:C44)</f>
        <v>3085.41</v>
      </c>
      <c r="D45" s="30"/>
      <c r="E45" s="6"/>
    </row>
    <row r="46" spans="1:7" ht="17.25" customHeight="1" x14ac:dyDescent="0.3">
      <c r="B46" s="34" t="s">
        <v>79</v>
      </c>
      <c r="C46" s="36">
        <f>AVERAGE(C24:C44)</f>
        <v>154.2705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79</v>
      </c>
      <c r="C48" s="37" t="s">
        <v>80</v>
      </c>
      <c r="D48" s="32"/>
      <c r="G48" s="10"/>
    </row>
    <row r="49" spans="1:6" ht="17.25" customHeight="1" x14ac:dyDescent="0.3">
      <c r="B49" s="284">
        <f>C46</f>
        <v>154.2705</v>
      </c>
      <c r="C49" s="45">
        <f>-IF(C46&lt;=80,10%,IF(C46&lt;250,7.5%,5%))</f>
        <v>-7.4999999999999997E-2</v>
      </c>
      <c r="D49" s="33">
        <f>IF(C46&lt;=80,C46*0.9,IF(C46&lt;250,C46*0.925,C46*0.95))</f>
        <v>142.70021249999999</v>
      </c>
    </row>
    <row r="50" spans="1:6" ht="17.25" customHeight="1" x14ac:dyDescent="0.3">
      <c r="B50" s="285"/>
      <c r="C50" s="46">
        <f>IF(C46&lt;=80, 10%, IF(C46&lt;250, 7.5%, 5%))</f>
        <v>7.4999999999999997E-2</v>
      </c>
      <c r="D50" s="33">
        <f>IF(C46&lt;=80, C46*1.1, IF(C46&lt;250, C46*1.075, C46*1.05))</f>
        <v>165.8407875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67</v>
      </c>
      <c r="C52" s="19"/>
      <c r="D52" s="20" t="s">
        <v>68</v>
      </c>
      <c r="E52" s="21"/>
      <c r="F52" s="20" t="s">
        <v>69</v>
      </c>
    </row>
    <row r="53" spans="1:6" ht="34.5" customHeight="1" x14ac:dyDescent="0.3">
      <c r="A53" s="22" t="s">
        <v>70</v>
      </c>
      <c r="B53" s="23"/>
      <c r="C53" s="24"/>
      <c r="D53" s="23"/>
      <c r="E53" s="13"/>
      <c r="F53" s="25"/>
    </row>
    <row r="54" spans="1:6" ht="34.5" customHeight="1" x14ac:dyDescent="0.3">
      <c r="A54" s="22" t="s">
        <v>71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Layout" topLeftCell="B10" zoomScale="55" zoomScaleNormal="40" zoomScalePageLayoutView="55" workbookViewId="0">
      <selection activeCell="G114" sqref="G114"/>
    </sheetView>
  </sheetViews>
  <sheetFormatPr defaultColWidth="9.140625"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3">
      <c r="A1" s="292" t="s">
        <v>81</v>
      </c>
      <c r="B1" s="292"/>
      <c r="C1" s="292"/>
      <c r="D1" s="292"/>
      <c r="E1" s="292"/>
      <c r="F1" s="292"/>
      <c r="G1" s="292"/>
      <c r="H1" s="292"/>
      <c r="I1" s="292"/>
    </row>
    <row r="2" spans="1:9" ht="18.75" customHeight="1" x14ac:dyDescent="0.3">
      <c r="A2" s="292"/>
      <c r="B2" s="292"/>
      <c r="C2" s="292"/>
      <c r="D2" s="292"/>
      <c r="E2" s="292"/>
      <c r="F2" s="292"/>
      <c r="G2" s="292"/>
      <c r="H2" s="292"/>
      <c r="I2" s="292"/>
    </row>
    <row r="3" spans="1:9" ht="18.75" customHeight="1" x14ac:dyDescent="0.3">
      <c r="A3" s="292"/>
      <c r="B3" s="292"/>
      <c r="C3" s="292"/>
      <c r="D3" s="292"/>
      <c r="E3" s="292"/>
      <c r="F3" s="292"/>
      <c r="G3" s="292"/>
      <c r="H3" s="292"/>
      <c r="I3" s="292"/>
    </row>
    <row r="4" spans="1:9" ht="18.75" customHeight="1" x14ac:dyDescent="0.3">
      <c r="A4" s="292"/>
      <c r="B4" s="292"/>
      <c r="C4" s="292"/>
      <c r="D4" s="292"/>
      <c r="E4" s="292"/>
      <c r="F4" s="292"/>
      <c r="G4" s="292"/>
      <c r="H4" s="292"/>
      <c r="I4" s="292"/>
    </row>
    <row r="5" spans="1:9" ht="18.75" customHeight="1" x14ac:dyDescent="0.3">
      <c r="A5" s="292"/>
      <c r="B5" s="292"/>
      <c r="C5" s="292"/>
      <c r="D5" s="292"/>
      <c r="E5" s="292"/>
      <c r="F5" s="292"/>
      <c r="G5" s="292"/>
      <c r="H5" s="292"/>
      <c r="I5" s="292"/>
    </row>
    <row r="6" spans="1:9" ht="18.75" customHeight="1" x14ac:dyDescent="0.3">
      <c r="A6" s="292"/>
      <c r="B6" s="292"/>
      <c r="C6" s="292"/>
      <c r="D6" s="292"/>
      <c r="E6" s="292"/>
      <c r="F6" s="292"/>
      <c r="G6" s="292"/>
      <c r="H6" s="292"/>
      <c r="I6" s="292"/>
    </row>
    <row r="7" spans="1:9" ht="18.75" customHeight="1" x14ac:dyDescent="0.3">
      <c r="A7" s="292"/>
      <c r="B7" s="292"/>
      <c r="C7" s="292"/>
      <c r="D7" s="292"/>
      <c r="E7" s="292"/>
      <c r="F7" s="292"/>
      <c r="G7" s="292"/>
      <c r="H7" s="292"/>
      <c r="I7" s="292"/>
    </row>
    <row r="8" spans="1:9" x14ac:dyDescent="0.3">
      <c r="A8" s="293" t="s">
        <v>82</v>
      </c>
      <c r="B8" s="293"/>
      <c r="C8" s="293"/>
      <c r="D8" s="293"/>
      <c r="E8" s="293"/>
      <c r="F8" s="293"/>
      <c r="G8" s="293"/>
      <c r="H8" s="293"/>
      <c r="I8" s="293"/>
    </row>
    <row r="9" spans="1:9" x14ac:dyDescent="0.3">
      <c r="A9" s="293"/>
      <c r="B9" s="293"/>
      <c r="C9" s="293"/>
      <c r="D9" s="293"/>
      <c r="E9" s="293"/>
      <c r="F9" s="293"/>
      <c r="G9" s="293"/>
      <c r="H9" s="293"/>
      <c r="I9" s="293"/>
    </row>
    <row r="10" spans="1:9" x14ac:dyDescent="0.3">
      <c r="A10" s="293"/>
      <c r="B10" s="293"/>
      <c r="C10" s="293"/>
      <c r="D10" s="293"/>
      <c r="E10" s="293"/>
      <c r="F10" s="293"/>
      <c r="G10" s="293"/>
      <c r="H10" s="293"/>
      <c r="I10" s="293"/>
    </row>
    <row r="11" spans="1:9" x14ac:dyDescent="0.3">
      <c r="A11" s="293"/>
      <c r="B11" s="293"/>
      <c r="C11" s="293"/>
      <c r="D11" s="293"/>
      <c r="E11" s="293"/>
      <c r="F11" s="293"/>
      <c r="G11" s="293"/>
      <c r="H11" s="293"/>
      <c r="I11" s="293"/>
    </row>
    <row r="12" spans="1:9" x14ac:dyDescent="0.3">
      <c r="A12" s="293"/>
      <c r="B12" s="293"/>
      <c r="C12" s="293"/>
      <c r="D12" s="293"/>
      <c r="E12" s="293"/>
      <c r="F12" s="293"/>
      <c r="G12" s="293"/>
      <c r="H12" s="293"/>
      <c r="I12" s="293"/>
    </row>
    <row r="13" spans="1:9" x14ac:dyDescent="0.3">
      <c r="A13" s="293"/>
      <c r="B13" s="293"/>
      <c r="C13" s="293"/>
      <c r="D13" s="293"/>
      <c r="E13" s="293"/>
      <c r="F13" s="293"/>
      <c r="G13" s="293"/>
      <c r="H13" s="293"/>
      <c r="I13" s="293"/>
    </row>
    <row r="14" spans="1:9" x14ac:dyDescent="0.3">
      <c r="A14" s="293"/>
      <c r="B14" s="293"/>
      <c r="C14" s="293"/>
      <c r="D14" s="293"/>
      <c r="E14" s="293"/>
      <c r="F14" s="293"/>
      <c r="G14" s="293"/>
      <c r="H14" s="293"/>
      <c r="I14" s="293"/>
    </row>
    <row r="15" spans="1:9" ht="19.5" customHeight="1" x14ac:dyDescent="0.3">
      <c r="A15" s="50"/>
    </row>
    <row r="16" spans="1:9" ht="19.5" customHeight="1" x14ac:dyDescent="0.3">
      <c r="A16" s="326" t="s">
        <v>72</v>
      </c>
      <c r="B16" s="327"/>
      <c r="C16" s="327"/>
      <c r="D16" s="327"/>
      <c r="E16" s="327"/>
      <c r="F16" s="327"/>
      <c r="G16" s="327"/>
      <c r="H16" s="328"/>
    </row>
    <row r="17" spans="1:14" ht="20.25" customHeight="1" x14ac:dyDescent="0.3">
      <c r="A17" s="329" t="s">
        <v>0</v>
      </c>
      <c r="B17" s="329"/>
      <c r="C17" s="329"/>
      <c r="D17" s="329"/>
      <c r="E17" s="329"/>
      <c r="F17" s="329"/>
      <c r="G17" s="329"/>
      <c r="H17" s="329"/>
    </row>
    <row r="18" spans="1:14" ht="26.25" customHeight="1" x14ac:dyDescent="0.4">
      <c r="A18" s="52" t="s">
        <v>1</v>
      </c>
      <c r="B18" s="325" t="s">
        <v>127</v>
      </c>
      <c r="C18" s="325"/>
      <c r="D18" s="222"/>
      <c r="E18" s="53"/>
      <c r="F18" s="54"/>
      <c r="G18" s="54"/>
      <c r="H18" s="54"/>
    </row>
    <row r="19" spans="1:14" ht="26.25" customHeight="1" x14ac:dyDescent="0.4">
      <c r="A19" s="52" t="s">
        <v>2</v>
      </c>
      <c r="B19" s="55" t="s">
        <v>124</v>
      </c>
      <c r="C19" s="224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</v>
      </c>
      <c r="B20" s="330" t="s">
        <v>125</v>
      </c>
      <c r="C20" s="330"/>
      <c r="D20" s="54"/>
      <c r="E20" s="54"/>
      <c r="F20" s="54"/>
      <c r="G20" s="54"/>
      <c r="H20" s="54"/>
    </row>
    <row r="21" spans="1:14" ht="26.25" customHeight="1" x14ac:dyDescent="0.4">
      <c r="A21" s="52" t="s">
        <v>4</v>
      </c>
      <c r="B21" s="330" t="s">
        <v>125</v>
      </c>
      <c r="C21" s="330"/>
      <c r="D21" s="330"/>
      <c r="E21" s="330"/>
      <c r="F21" s="330"/>
      <c r="G21" s="330"/>
      <c r="H21" s="330"/>
      <c r="I21" s="56"/>
    </row>
    <row r="22" spans="1:14" ht="26.25" customHeight="1" x14ac:dyDescent="0.4">
      <c r="A22" s="52" t="s">
        <v>5</v>
      </c>
      <c r="B22" s="57" t="s">
        <v>74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6</v>
      </c>
      <c r="B23" s="57"/>
      <c r="C23" s="54"/>
      <c r="D23" s="54"/>
      <c r="E23" s="54"/>
      <c r="F23" s="54"/>
      <c r="G23" s="54"/>
      <c r="H23" s="54"/>
    </row>
    <row r="24" spans="1:14" x14ac:dyDescent="0.3">
      <c r="A24" s="52"/>
      <c r="B24" s="58"/>
    </row>
    <row r="25" spans="1:14" x14ac:dyDescent="0.3">
      <c r="A25" s="59" t="s">
        <v>7</v>
      </c>
      <c r="B25" s="58"/>
    </row>
    <row r="26" spans="1:14" ht="26.25" customHeight="1" x14ac:dyDescent="0.4">
      <c r="A26" s="60" t="s">
        <v>8</v>
      </c>
      <c r="B26" s="325" t="s">
        <v>105</v>
      </c>
      <c r="C26" s="325"/>
    </row>
    <row r="27" spans="1:14" ht="26.25" customHeight="1" x14ac:dyDescent="0.4">
      <c r="A27" s="61" t="s">
        <v>9</v>
      </c>
      <c r="B27" s="323" t="s">
        <v>104</v>
      </c>
      <c r="C27" s="323"/>
    </row>
    <row r="28" spans="1:14" ht="27" customHeight="1" x14ac:dyDescent="0.4">
      <c r="A28" s="61" t="s">
        <v>10</v>
      </c>
      <c r="B28" s="62">
        <v>99.8</v>
      </c>
    </row>
    <row r="29" spans="1:14" s="3" customFormat="1" ht="27" customHeight="1" x14ac:dyDescent="0.4">
      <c r="A29" s="61" t="s">
        <v>11</v>
      </c>
      <c r="B29" s="63">
        <v>0</v>
      </c>
      <c r="C29" s="300" t="s">
        <v>12</v>
      </c>
      <c r="D29" s="301"/>
      <c r="E29" s="301"/>
      <c r="F29" s="301"/>
      <c r="G29" s="302"/>
      <c r="I29" s="64"/>
      <c r="J29" s="64"/>
      <c r="K29" s="64"/>
      <c r="L29" s="64"/>
    </row>
    <row r="30" spans="1:14" s="3" customFormat="1" ht="19.5" customHeight="1" x14ac:dyDescent="0.3">
      <c r="A30" s="61" t="s">
        <v>13</v>
      </c>
      <c r="B30" s="65">
        <f>B28-B29</f>
        <v>99.8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14</v>
      </c>
      <c r="B31" s="68">
        <v>961.02</v>
      </c>
      <c r="C31" s="303" t="s">
        <v>83</v>
      </c>
      <c r="D31" s="304"/>
      <c r="E31" s="304"/>
      <c r="F31" s="304"/>
      <c r="G31" s="304"/>
      <c r="H31" s="305"/>
      <c r="I31" s="64"/>
      <c r="J31" s="64"/>
      <c r="K31" s="64"/>
      <c r="L31" s="64"/>
    </row>
    <row r="32" spans="1:14" s="3" customFormat="1" ht="27" customHeight="1" x14ac:dyDescent="0.4">
      <c r="A32" s="61" t="s">
        <v>15</v>
      </c>
      <c r="B32" s="68">
        <v>1001.1</v>
      </c>
      <c r="C32" s="303" t="s">
        <v>84</v>
      </c>
      <c r="D32" s="304"/>
      <c r="E32" s="304"/>
      <c r="F32" s="304"/>
      <c r="G32" s="304"/>
      <c r="H32" s="30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x14ac:dyDescent="0.3">
      <c r="A34" s="61" t="s">
        <v>16</v>
      </c>
      <c r="B34" s="73">
        <f>B31/B32</f>
        <v>0.95996403955648779</v>
      </c>
      <c r="C34" s="51" t="s">
        <v>17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85</v>
      </c>
      <c r="B36" s="75">
        <v>50</v>
      </c>
      <c r="C36" s="51"/>
      <c r="D36" s="306" t="s">
        <v>18</v>
      </c>
      <c r="E36" s="324"/>
      <c r="F36" s="306" t="s">
        <v>19</v>
      </c>
      <c r="G36" s="30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20</v>
      </c>
      <c r="B37" s="77">
        <v>5</v>
      </c>
      <c r="C37" s="78" t="s">
        <v>45</v>
      </c>
      <c r="D37" s="79" t="s">
        <v>21</v>
      </c>
      <c r="E37" s="80" t="s">
        <v>22</v>
      </c>
      <c r="F37" s="79" t="s">
        <v>21</v>
      </c>
      <c r="G37" s="81" t="s">
        <v>22</v>
      </c>
      <c r="I37" s="82" t="s">
        <v>86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23</v>
      </c>
      <c r="B38" s="77">
        <v>25</v>
      </c>
      <c r="C38" s="83">
        <v>1</v>
      </c>
      <c r="D38" s="84">
        <v>52847303</v>
      </c>
      <c r="E38" s="85">
        <f>IF(ISBLANK(D38),"-",$D$48/$D$45*D38)</f>
        <v>53763800.617868535</v>
      </c>
      <c r="F38" s="84">
        <v>55641539</v>
      </c>
      <c r="G38" s="86">
        <f>IF(ISBLANK(F38),"-",$D$48/$F$45*F38)</f>
        <v>54380397.169864424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24</v>
      </c>
      <c r="B39" s="77">
        <v>1</v>
      </c>
      <c r="C39" s="88">
        <v>2</v>
      </c>
      <c r="D39" s="89">
        <v>52839753</v>
      </c>
      <c r="E39" s="90">
        <f>IF(ISBLANK(D39),"-",$D$48/$D$45*D39)</f>
        <v>53756119.682955638</v>
      </c>
      <c r="F39" s="89">
        <v>55632384</v>
      </c>
      <c r="G39" s="91">
        <f>IF(ISBLANK(F39),"-",$D$48/$F$45*F39)</f>
        <v>54371449.672274716</v>
      </c>
      <c r="I39" s="308">
        <f>ABS((F43/D43*D42)-F42)/D42</f>
        <v>1.2438686081505059E-2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25</v>
      </c>
      <c r="B40" s="77">
        <v>1</v>
      </c>
      <c r="C40" s="88">
        <v>3</v>
      </c>
      <c r="D40" s="89">
        <v>52890681</v>
      </c>
      <c r="E40" s="90">
        <f>IF(ISBLANK(D40),"-",$D$48/$D$45*D40)</f>
        <v>53807930.895305812</v>
      </c>
      <c r="F40" s="89">
        <v>55767799</v>
      </c>
      <c r="G40" s="91">
        <f>IF(ISBLANK(F40),"-",$D$48/$F$45*F40)</f>
        <v>54503795.427174792</v>
      </c>
      <c r="I40" s="308"/>
      <c r="L40" s="69"/>
      <c r="M40" s="69"/>
      <c r="N40" s="92"/>
    </row>
    <row r="41" spans="1:14" ht="27" customHeight="1" x14ac:dyDescent="0.4">
      <c r="A41" s="76" t="s">
        <v>26</v>
      </c>
      <c r="B41" s="77">
        <v>1</v>
      </c>
      <c r="C41" s="93">
        <v>4</v>
      </c>
      <c r="D41" s="94"/>
      <c r="E41" s="95"/>
      <c r="F41" s="94"/>
      <c r="G41" s="96"/>
      <c r="I41" s="97"/>
      <c r="L41" s="69"/>
      <c r="M41" s="69"/>
      <c r="N41" s="92"/>
    </row>
    <row r="42" spans="1:14" ht="27" customHeight="1" x14ac:dyDescent="0.4">
      <c r="A42" s="76" t="s">
        <v>27</v>
      </c>
      <c r="B42" s="77">
        <v>1</v>
      </c>
      <c r="C42" s="98" t="s">
        <v>28</v>
      </c>
      <c r="D42" s="99">
        <f>AVERAGE(D38:D41)</f>
        <v>52859245.666666664</v>
      </c>
      <c r="E42" s="100">
        <f>AVERAGE(E38:E41)</f>
        <v>53775950.39870999</v>
      </c>
      <c r="F42" s="99">
        <f>AVERAGE(F38:F41)</f>
        <v>55680574</v>
      </c>
      <c r="G42" s="101">
        <f>AVERAGE(G38:G41)</f>
        <v>54418547.423104644</v>
      </c>
      <c r="H42" s="102"/>
    </row>
    <row r="43" spans="1:14" ht="26.25" customHeight="1" x14ac:dyDescent="0.4">
      <c r="A43" s="76" t="s">
        <v>29</v>
      </c>
      <c r="B43" s="77">
        <v>1</v>
      </c>
      <c r="C43" s="103" t="s">
        <v>87</v>
      </c>
      <c r="D43" s="104">
        <v>25.65</v>
      </c>
      <c r="E43" s="92"/>
      <c r="F43" s="104">
        <v>26.7</v>
      </c>
      <c r="H43" s="102"/>
    </row>
    <row r="44" spans="1:14" ht="26.25" customHeight="1" x14ac:dyDescent="0.4">
      <c r="A44" s="76" t="s">
        <v>31</v>
      </c>
      <c r="B44" s="77">
        <v>1</v>
      </c>
      <c r="C44" s="105" t="s">
        <v>88</v>
      </c>
      <c r="D44" s="106">
        <f>D43*$B$34</f>
        <v>24.623077614623909</v>
      </c>
      <c r="E44" s="107"/>
      <c r="F44" s="106">
        <f>F43*$B$34</f>
        <v>25.631039856158225</v>
      </c>
      <c r="H44" s="102"/>
    </row>
    <row r="45" spans="1:14" ht="19.5" customHeight="1" x14ac:dyDescent="0.3">
      <c r="A45" s="76" t="s">
        <v>33</v>
      </c>
      <c r="B45" s="108">
        <f>(B44/B43)*(B42/B41)*(B40/B39)*(B38/B37)*B36</f>
        <v>250</v>
      </c>
      <c r="C45" s="105" t="s">
        <v>89</v>
      </c>
      <c r="D45" s="109">
        <f>D44*$B$30/100</f>
        <v>24.573831459394661</v>
      </c>
      <c r="E45" s="110"/>
      <c r="F45" s="109">
        <f>F44*$B$30/100</f>
        <v>25.579777776445908</v>
      </c>
      <c r="H45" s="102"/>
    </row>
    <row r="46" spans="1:14" ht="19.5" customHeight="1" x14ac:dyDescent="0.3">
      <c r="A46" s="294" t="s">
        <v>35</v>
      </c>
      <c r="B46" s="295"/>
      <c r="C46" s="105" t="s">
        <v>90</v>
      </c>
      <c r="D46" s="111">
        <f>D45/$B$45</f>
        <v>9.8295325837578648E-2</v>
      </c>
      <c r="E46" s="112"/>
      <c r="F46" s="113">
        <f>F45/$B$45</f>
        <v>0.10231911110578364</v>
      </c>
      <c r="H46" s="102"/>
    </row>
    <row r="47" spans="1:14" ht="27" customHeight="1" x14ac:dyDescent="0.4">
      <c r="A47" s="296"/>
      <c r="B47" s="297"/>
      <c r="C47" s="114" t="s">
        <v>91</v>
      </c>
      <c r="D47" s="115">
        <f>25/50*5/25</f>
        <v>0.1</v>
      </c>
      <c r="E47" s="116"/>
      <c r="F47" s="112"/>
      <c r="H47" s="102"/>
    </row>
    <row r="48" spans="1:14" x14ac:dyDescent="0.3">
      <c r="C48" s="117" t="s">
        <v>37</v>
      </c>
      <c r="D48" s="109">
        <f>D47*$B$45</f>
        <v>25</v>
      </c>
      <c r="F48" s="118"/>
      <c r="H48" s="102"/>
    </row>
    <row r="49" spans="1:12" ht="19.5" customHeight="1" x14ac:dyDescent="0.3">
      <c r="C49" s="119" t="s">
        <v>38</v>
      </c>
      <c r="D49" s="120">
        <f>D48/B34</f>
        <v>26.042642192670289</v>
      </c>
      <c r="F49" s="118"/>
      <c r="H49" s="102"/>
    </row>
    <row r="50" spans="1:12" x14ac:dyDescent="0.3">
      <c r="C50" s="74" t="s">
        <v>39</v>
      </c>
      <c r="D50" s="121">
        <f>AVERAGE(E38:E41,G38:G41)</f>
        <v>54097248.910907321</v>
      </c>
      <c r="F50" s="122"/>
      <c r="H50" s="102"/>
    </row>
    <row r="51" spans="1:12" x14ac:dyDescent="0.3">
      <c r="C51" s="76" t="s">
        <v>40</v>
      </c>
      <c r="D51" s="123">
        <f>STDEV(E38:E41,G38:G41)/D50</f>
        <v>6.5714968241751747E-3</v>
      </c>
      <c r="F51" s="122"/>
      <c r="H51" s="102"/>
    </row>
    <row r="52" spans="1:12" ht="19.5" customHeight="1" x14ac:dyDescent="0.3">
      <c r="C52" s="124" t="s">
        <v>41</v>
      </c>
      <c r="D52" s="125">
        <f>COUNT(E38:E41,G38:G41)</f>
        <v>6</v>
      </c>
      <c r="F52" s="122"/>
    </row>
    <row r="54" spans="1:12" x14ac:dyDescent="0.3">
      <c r="A54" s="126" t="s">
        <v>7</v>
      </c>
      <c r="B54" s="127" t="s">
        <v>42</v>
      </c>
    </row>
    <row r="55" spans="1:12" x14ac:dyDescent="0.3">
      <c r="A55" s="51" t="s">
        <v>43</v>
      </c>
      <c r="B55" s="128" t="str">
        <f>B21</f>
        <v>Rosuvastatin calcium EQ. to Rosuvastatin 10mg</v>
      </c>
    </row>
    <row r="56" spans="1:12" ht="26.25" customHeight="1" x14ac:dyDescent="0.4">
      <c r="A56" s="129" t="s">
        <v>92</v>
      </c>
      <c r="B56" s="130">
        <v>10</v>
      </c>
      <c r="C56" s="51" t="str">
        <f>B20</f>
        <v>Rosuvastatin calcium EQ. to Rosuvastatin 10mg</v>
      </c>
      <c r="H56" s="131"/>
    </row>
    <row r="57" spans="1:12" x14ac:dyDescent="0.3">
      <c r="A57" s="128" t="s">
        <v>93</v>
      </c>
      <c r="B57" s="223">
        <v>154.2705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94</v>
      </c>
      <c r="B59" s="75">
        <v>100</v>
      </c>
      <c r="C59" s="51"/>
      <c r="D59" s="132" t="s">
        <v>44</v>
      </c>
      <c r="E59" s="133" t="s">
        <v>45</v>
      </c>
      <c r="F59" s="133" t="s">
        <v>21</v>
      </c>
      <c r="G59" s="133" t="s">
        <v>46</v>
      </c>
      <c r="H59" s="78" t="s">
        <v>47</v>
      </c>
      <c r="L59" s="64"/>
    </row>
    <row r="60" spans="1:12" s="3" customFormat="1" ht="26.25" customHeight="1" x14ac:dyDescent="0.4">
      <c r="A60" s="76" t="s">
        <v>95</v>
      </c>
      <c r="B60" s="77">
        <v>1</v>
      </c>
      <c r="C60" s="311" t="s">
        <v>49</v>
      </c>
      <c r="D60" s="314">
        <v>152.47</v>
      </c>
      <c r="E60" s="134">
        <v>1</v>
      </c>
      <c r="F60" s="135">
        <v>54603319</v>
      </c>
      <c r="G60" s="225">
        <f>IF(ISBLANK(F60),"-",(F60/$D$50*$D$47*$B$68)*($B$57/$D$60))</f>
        <v>10.212741715653651</v>
      </c>
      <c r="H60" s="136">
        <f>IF(ISBLANK(F60),"-",G60/$B$56)</f>
        <v>1.021274171565365</v>
      </c>
      <c r="L60" s="64"/>
    </row>
    <row r="61" spans="1:12" s="3" customFormat="1" ht="26.25" customHeight="1" x14ac:dyDescent="0.4">
      <c r="A61" s="76" t="s">
        <v>50</v>
      </c>
      <c r="B61" s="77">
        <v>1</v>
      </c>
      <c r="C61" s="312"/>
      <c r="D61" s="315"/>
      <c r="E61" s="137">
        <v>2</v>
      </c>
      <c r="F61" s="89">
        <v>54513991</v>
      </c>
      <c r="G61" s="226">
        <f>IF(ISBLANK(F61),"-",(F61/$D$50*$D$47*$B$68)*($B$57/$D$60))</f>
        <v>10.196034236901745</v>
      </c>
      <c r="H61" s="138">
        <f t="shared" ref="H61:H70" si="0">IF(ISBLANK(F61),"-",G61/$B$56)</f>
        <v>1.0196034236901745</v>
      </c>
      <c r="L61" s="64"/>
    </row>
    <row r="62" spans="1:12" s="3" customFormat="1" ht="26.25" customHeight="1" x14ac:dyDescent="0.4">
      <c r="A62" s="76" t="s">
        <v>51</v>
      </c>
      <c r="B62" s="77">
        <v>1</v>
      </c>
      <c r="C62" s="312"/>
      <c r="D62" s="315"/>
      <c r="E62" s="137">
        <v>3</v>
      </c>
      <c r="F62" s="139">
        <v>54480394</v>
      </c>
      <c r="G62" s="226">
        <f>IF(ISBLANK(F62),"-",(F62/$D$50*$D$47*$B$68)*($B$57/$D$60))</f>
        <v>10.189750415886749</v>
      </c>
      <c r="H62" s="138">
        <f t="shared" si="0"/>
        <v>1.0189750415886749</v>
      </c>
      <c r="L62" s="64"/>
    </row>
    <row r="63" spans="1:12" ht="27" customHeight="1" x14ac:dyDescent="0.4">
      <c r="A63" s="76" t="s">
        <v>52</v>
      </c>
      <c r="B63" s="77">
        <v>1</v>
      </c>
      <c r="C63" s="322"/>
      <c r="D63" s="316"/>
      <c r="E63" s="140">
        <v>4</v>
      </c>
      <c r="F63" s="141"/>
      <c r="G63" s="226"/>
      <c r="H63" s="138"/>
    </row>
    <row r="64" spans="1:12" ht="26.25" customHeight="1" x14ac:dyDescent="0.4">
      <c r="A64" s="76" t="s">
        <v>53</v>
      </c>
      <c r="B64" s="77">
        <v>1</v>
      </c>
      <c r="C64" s="311" t="s">
        <v>54</v>
      </c>
      <c r="D64" s="314">
        <v>154.01</v>
      </c>
      <c r="E64" s="134">
        <v>1</v>
      </c>
      <c r="F64" s="135">
        <v>55668141</v>
      </c>
      <c r="G64" s="227">
        <f>IF(ISBLANK(F64),"-",(F64/$D$50*$D$47*$B$68)*($B$57/$D$64))</f>
        <v>10.307788644002315</v>
      </c>
      <c r="H64" s="142">
        <f>IF(ISBLANK(F64),"-",G64/$B$56)</f>
        <v>1.0307788644002316</v>
      </c>
    </row>
    <row r="65" spans="1:8" ht="26.25" customHeight="1" x14ac:dyDescent="0.4">
      <c r="A65" s="76" t="s">
        <v>55</v>
      </c>
      <c r="B65" s="77">
        <v>1</v>
      </c>
      <c r="C65" s="312"/>
      <c r="D65" s="315"/>
      <c r="E65" s="137">
        <v>2</v>
      </c>
      <c r="F65" s="89">
        <v>55718561</v>
      </c>
      <c r="G65" s="228">
        <f>IF(ISBLANK(F65),"-",(F65/$D$50*$D$47*$B$68)*($B$57/$D$64))</f>
        <v>10.317124660871112</v>
      </c>
      <c r="H65" s="143">
        <f t="shared" si="0"/>
        <v>1.0317124660871113</v>
      </c>
    </row>
    <row r="66" spans="1:8" ht="26.25" customHeight="1" x14ac:dyDescent="0.4">
      <c r="A66" s="76" t="s">
        <v>56</v>
      </c>
      <c r="B66" s="77">
        <v>1</v>
      </c>
      <c r="C66" s="312"/>
      <c r="D66" s="315"/>
      <c r="E66" s="137">
        <v>3</v>
      </c>
      <c r="F66" s="89">
        <v>55746309</v>
      </c>
      <c r="G66" s="228">
        <f>IF(ISBLANK(F66),"-",(F66/$D$50*$D$47*$B$68)*($B$57/$D$64))</f>
        <v>10.322262617953132</v>
      </c>
      <c r="H66" s="143">
        <f t="shared" si="0"/>
        <v>1.0322262617953133</v>
      </c>
    </row>
    <row r="67" spans="1:8" ht="27" customHeight="1" x14ac:dyDescent="0.4">
      <c r="A67" s="76" t="s">
        <v>57</v>
      </c>
      <c r="B67" s="77">
        <v>1</v>
      </c>
      <c r="C67" s="322"/>
      <c r="D67" s="316"/>
      <c r="E67" s="140">
        <v>4</v>
      </c>
      <c r="F67" s="141"/>
      <c r="G67" s="229"/>
      <c r="H67" s="144"/>
    </row>
    <row r="68" spans="1:8" ht="26.25" customHeight="1" x14ac:dyDescent="0.4">
      <c r="A68" s="76" t="s">
        <v>58</v>
      </c>
      <c r="B68" s="145">
        <f>(B67/B66)*(B65/B64)*(B63/B62)*(B61/B60)*B59</f>
        <v>100</v>
      </c>
      <c r="C68" s="311" t="s">
        <v>59</v>
      </c>
      <c r="D68" s="314">
        <v>156.13</v>
      </c>
      <c r="E68" s="134">
        <v>1</v>
      </c>
      <c r="F68" s="135">
        <v>56024766</v>
      </c>
      <c r="G68" s="227">
        <f>IF(ISBLANK(F68),"-",(F68/$D$50*$D$47*$B$68)*($B$57/$D$68))</f>
        <v>10.232962882536066</v>
      </c>
      <c r="H68" s="138">
        <f>IF(ISBLANK(F68),"-",G68/$B$56)</f>
        <v>1.0232962882536065</v>
      </c>
    </row>
    <row r="69" spans="1:8" ht="27" customHeight="1" x14ac:dyDescent="0.4">
      <c r="A69" s="124" t="s">
        <v>60</v>
      </c>
      <c r="B69" s="146">
        <f>(D47*B68)/B56*B57</f>
        <v>154.2705</v>
      </c>
      <c r="C69" s="312"/>
      <c r="D69" s="315"/>
      <c r="E69" s="137">
        <v>2</v>
      </c>
      <c r="F69" s="89">
        <v>56040112</v>
      </c>
      <c r="G69" s="228">
        <f>IF(ISBLANK(F69),"-",(F69/$D$50*$D$47*$B$68)*($B$57/$D$68))</f>
        <v>10.235765840220804</v>
      </c>
      <c r="H69" s="138">
        <f t="shared" si="0"/>
        <v>1.0235765840220803</v>
      </c>
    </row>
    <row r="70" spans="1:8" ht="26.25" customHeight="1" x14ac:dyDescent="0.4">
      <c r="A70" s="317" t="s">
        <v>35</v>
      </c>
      <c r="B70" s="318"/>
      <c r="C70" s="312"/>
      <c r="D70" s="315"/>
      <c r="E70" s="137">
        <v>3</v>
      </c>
      <c r="F70" s="89">
        <v>55966964</v>
      </c>
      <c r="G70" s="228">
        <f>IF(ISBLANK(F70),"-",(F70/$D$50*$D$47*$B$68)*($B$57/$D$68))</f>
        <v>10.222405306614441</v>
      </c>
      <c r="H70" s="138">
        <f t="shared" si="0"/>
        <v>1.0222405306614442</v>
      </c>
    </row>
    <row r="71" spans="1:8" ht="27" customHeight="1" x14ac:dyDescent="0.4">
      <c r="A71" s="319"/>
      <c r="B71" s="320"/>
      <c r="C71" s="313"/>
      <c r="D71" s="316"/>
      <c r="E71" s="140">
        <v>4</v>
      </c>
      <c r="F71" s="141"/>
      <c r="G71" s="229"/>
      <c r="H71" s="147"/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28</v>
      </c>
      <c r="H72" s="151">
        <f>AVERAGE(H60:H71)</f>
        <v>1.0248537368960002</v>
      </c>
    </row>
    <row r="73" spans="1:8" ht="26.25" customHeight="1" x14ac:dyDescent="0.4">
      <c r="C73" s="148"/>
      <c r="D73" s="148"/>
      <c r="E73" s="148"/>
      <c r="F73" s="149"/>
      <c r="G73" s="152" t="s">
        <v>40</v>
      </c>
      <c r="H73" s="230">
        <f>STDEV(H60:H71)/H72</f>
        <v>5.1438629691741601E-3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41</v>
      </c>
      <c r="H74" s="155">
        <f>COUNT(H60:H71)</f>
        <v>9</v>
      </c>
    </row>
    <row r="76" spans="1:8" ht="26.25" customHeight="1" x14ac:dyDescent="0.4">
      <c r="A76" s="60" t="s">
        <v>96</v>
      </c>
      <c r="B76" s="156" t="s">
        <v>97</v>
      </c>
      <c r="C76" s="298" t="str">
        <f>B20</f>
        <v>Rosuvastatin calcium EQ. to Rosuvastatin 10mg</v>
      </c>
      <c r="D76" s="298"/>
      <c r="E76" s="157" t="s">
        <v>98</v>
      </c>
      <c r="F76" s="157"/>
      <c r="G76" s="158">
        <f>H72</f>
        <v>1.0248537368960002</v>
      </c>
      <c r="H76" s="159"/>
    </row>
    <row r="77" spans="1:8" x14ac:dyDescent="0.3">
      <c r="A77" s="59" t="s">
        <v>99</v>
      </c>
      <c r="B77" s="59" t="s">
        <v>61</v>
      </c>
    </row>
    <row r="78" spans="1:8" x14ac:dyDescent="0.3">
      <c r="A78" s="59"/>
      <c r="B78" s="59"/>
    </row>
    <row r="79" spans="1:8" ht="26.25" customHeight="1" x14ac:dyDescent="0.4">
      <c r="A79" s="60" t="s">
        <v>8</v>
      </c>
      <c r="B79" s="321" t="str">
        <f>B26</f>
        <v>ROSUVOSTATIN</v>
      </c>
      <c r="C79" s="321"/>
    </row>
    <row r="80" spans="1:8" ht="26.25" customHeight="1" x14ac:dyDescent="0.4">
      <c r="A80" s="61" t="s">
        <v>9</v>
      </c>
      <c r="B80" s="321" t="str">
        <f>B27</f>
        <v>R1-1</v>
      </c>
      <c r="C80" s="321"/>
    </row>
    <row r="81" spans="1:12" ht="27" customHeight="1" x14ac:dyDescent="0.4">
      <c r="A81" s="61" t="s">
        <v>10</v>
      </c>
      <c r="B81" s="160">
        <f>B28</f>
        <v>99.8</v>
      </c>
    </row>
    <row r="82" spans="1:12" s="3" customFormat="1" ht="27" customHeight="1" x14ac:dyDescent="0.4">
      <c r="A82" s="61" t="s">
        <v>11</v>
      </c>
      <c r="B82" s="63">
        <v>0</v>
      </c>
      <c r="C82" s="300" t="s">
        <v>12</v>
      </c>
      <c r="D82" s="301"/>
      <c r="E82" s="301"/>
      <c r="F82" s="301"/>
      <c r="G82" s="302"/>
      <c r="I82" s="64"/>
      <c r="J82" s="64"/>
      <c r="K82" s="64"/>
      <c r="L82" s="64"/>
    </row>
    <row r="83" spans="1:12" s="3" customFormat="1" ht="19.5" customHeight="1" x14ac:dyDescent="0.3">
      <c r="A83" s="61" t="s">
        <v>13</v>
      </c>
      <c r="B83" s="65">
        <f>B81-B82</f>
        <v>99.8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14</v>
      </c>
      <c r="B84" s="68">
        <f>B31</f>
        <v>961.02</v>
      </c>
      <c r="C84" s="303" t="s">
        <v>100</v>
      </c>
      <c r="D84" s="304"/>
      <c r="E84" s="304"/>
      <c r="F84" s="304"/>
      <c r="G84" s="304"/>
      <c r="H84" s="305"/>
      <c r="I84" s="64"/>
      <c r="J84" s="64"/>
      <c r="K84" s="64"/>
      <c r="L84" s="64"/>
    </row>
    <row r="85" spans="1:12" s="3" customFormat="1" ht="27" customHeight="1" x14ac:dyDescent="0.4">
      <c r="A85" s="61" t="s">
        <v>15</v>
      </c>
      <c r="B85" s="68">
        <f>B32</f>
        <v>1001.1</v>
      </c>
      <c r="C85" s="303" t="s">
        <v>101</v>
      </c>
      <c r="D85" s="304"/>
      <c r="E85" s="304"/>
      <c r="F85" s="304"/>
      <c r="G85" s="304"/>
      <c r="H85" s="305"/>
      <c r="I85" s="64"/>
      <c r="J85" s="64"/>
      <c r="K85" s="64"/>
      <c r="L85" s="64"/>
    </row>
    <row r="86" spans="1:12" s="3" customFormat="1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x14ac:dyDescent="0.3">
      <c r="A87" s="61" t="s">
        <v>16</v>
      </c>
      <c r="B87" s="73">
        <f>B84/B85</f>
        <v>0.95996403955648779</v>
      </c>
      <c r="C87" s="51" t="s">
        <v>17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85</v>
      </c>
      <c r="B89" s="75">
        <v>100</v>
      </c>
      <c r="D89" s="161" t="s">
        <v>18</v>
      </c>
      <c r="E89" s="162"/>
      <c r="F89" s="306" t="s">
        <v>19</v>
      </c>
      <c r="G89" s="307"/>
    </row>
    <row r="90" spans="1:12" ht="27" customHeight="1" x14ac:dyDescent="0.4">
      <c r="A90" s="76" t="s">
        <v>20</v>
      </c>
      <c r="B90" s="77">
        <v>2</v>
      </c>
      <c r="C90" s="163" t="s">
        <v>45</v>
      </c>
      <c r="D90" s="79" t="s">
        <v>21</v>
      </c>
      <c r="E90" s="80" t="s">
        <v>22</v>
      </c>
      <c r="F90" s="79" t="s">
        <v>21</v>
      </c>
      <c r="G90" s="164" t="s">
        <v>22</v>
      </c>
      <c r="I90" s="82" t="s">
        <v>86</v>
      </c>
    </row>
    <row r="91" spans="1:12" ht="26.25" customHeight="1" x14ac:dyDescent="0.4">
      <c r="A91" s="76" t="s">
        <v>23</v>
      </c>
      <c r="B91" s="77">
        <v>100</v>
      </c>
      <c r="C91" s="165">
        <v>1</v>
      </c>
      <c r="D91" s="84">
        <v>2595773</v>
      </c>
      <c r="E91" s="85">
        <f>IF(ISBLANK(D91),"-",$D$101/$D$98*D91)</f>
        <v>3076962.84057141</v>
      </c>
      <c r="F91" s="84">
        <v>2769247</v>
      </c>
      <c r="G91" s="86">
        <f>IF(ISBLANK(F91),"-",$D$101/$F$98*F91)</f>
        <v>3073976.2988681812</v>
      </c>
      <c r="I91" s="87"/>
    </row>
    <row r="92" spans="1:12" ht="26.25" customHeight="1" x14ac:dyDescent="0.4">
      <c r="A92" s="76" t="s">
        <v>24</v>
      </c>
      <c r="B92" s="77">
        <v>1</v>
      </c>
      <c r="C92" s="149">
        <v>2</v>
      </c>
      <c r="D92" s="89">
        <v>2587049</v>
      </c>
      <c r="E92" s="90">
        <f>IF(ISBLANK(D92),"-",$D$101/$D$98*D92)</f>
        <v>3066621.63437921</v>
      </c>
      <c r="F92" s="89">
        <v>2763423</v>
      </c>
      <c r="G92" s="91">
        <f>IF(ISBLANK(F92),"-",$D$101/$F$98*F92)</f>
        <v>3067511.4230500949</v>
      </c>
      <c r="I92" s="308">
        <f>ABS((F96/D96*D95)-F95)/D95</f>
        <v>9.005293737724885E-4</v>
      </c>
    </row>
    <row r="93" spans="1:12" ht="26.25" customHeight="1" x14ac:dyDescent="0.4">
      <c r="A93" s="76" t="s">
        <v>25</v>
      </c>
      <c r="B93" s="77">
        <v>1</v>
      </c>
      <c r="C93" s="149">
        <v>3</v>
      </c>
      <c r="D93" s="89">
        <v>2593794</v>
      </c>
      <c r="E93" s="90">
        <f>IF(ISBLANK(D93),"-",$D$101/$D$98*D93)</f>
        <v>3074616.9846504601</v>
      </c>
      <c r="F93" s="89">
        <v>2764710</v>
      </c>
      <c r="G93" s="91">
        <f>IF(ISBLANK(F93),"-",$D$101/$F$98*F93)</f>
        <v>3068940.0451616808</v>
      </c>
      <c r="I93" s="308"/>
    </row>
    <row r="94" spans="1:12" ht="27" customHeight="1" x14ac:dyDescent="0.4">
      <c r="A94" s="76" t="s">
        <v>26</v>
      </c>
      <c r="B94" s="77">
        <v>1</v>
      </c>
      <c r="C94" s="166">
        <v>4</v>
      </c>
      <c r="D94" s="94"/>
      <c r="E94" s="95"/>
      <c r="F94" s="167"/>
      <c r="G94" s="96"/>
      <c r="I94" s="97"/>
    </row>
    <row r="95" spans="1:12" ht="27" customHeight="1" x14ac:dyDescent="0.4">
      <c r="A95" s="76" t="s">
        <v>27</v>
      </c>
      <c r="B95" s="77">
        <v>1</v>
      </c>
      <c r="C95" s="168" t="s">
        <v>28</v>
      </c>
      <c r="D95" s="169">
        <f>AVERAGE(D91:D94)</f>
        <v>2592205.3333333335</v>
      </c>
      <c r="E95" s="100">
        <f>AVERAGE(E91:E94)</f>
        <v>3072733.8198670265</v>
      </c>
      <c r="F95" s="170">
        <f>AVERAGE(F91:F94)</f>
        <v>2765793.3333333335</v>
      </c>
      <c r="G95" s="171">
        <f>AVERAGE(G91:G94)</f>
        <v>3070142.5890266523</v>
      </c>
    </row>
    <row r="96" spans="1:12" ht="26.25" customHeight="1" x14ac:dyDescent="0.4">
      <c r="A96" s="76" t="s">
        <v>29</v>
      </c>
      <c r="B96" s="62">
        <v>1</v>
      </c>
      <c r="C96" s="172" t="s">
        <v>30</v>
      </c>
      <c r="D96" s="173">
        <v>24.46</v>
      </c>
      <c r="E96" s="92"/>
      <c r="F96" s="104">
        <v>26.12</v>
      </c>
    </row>
    <row r="97" spans="1:10" ht="26.25" customHeight="1" x14ac:dyDescent="0.4">
      <c r="A97" s="76" t="s">
        <v>31</v>
      </c>
      <c r="B97" s="62">
        <v>1</v>
      </c>
      <c r="C97" s="174" t="s">
        <v>32</v>
      </c>
      <c r="D97" s="175">
        <f>D96*$B$87</f>
        <v>23.480720407551694</v>
      </c>
      <c r="E97" s="107"/>
      <c r="F97" s="106">
        <f>F96*$B$87</f>
        <v>25.074260713215462</v>
      </c>
    </row>
    <row r="98" spans="1:10" ht="19.5" customHeight="1" x14ac:dyDescent="0.3">
      <c r="A98" s="76" t="s">
        <v>33</v>
      </c>
      <c r="B98" s="176">
        <f>(B97/B96)*(B95/B94)*(B93/B92)*(B91/B90)*B89</f>
        <v>5000</v>
      </c>
      <c r="C98" s="174" t="s">
        <v>34</v>
      </c>
      <c r="D98" s="177">
        <f>D97*$B$83/100</f>
        <v>23.43375896673659</v>
      </c>
      <c r="E98" s="110"/>
      <c r="F98" s="109">
        <f>F97*$B$83/100</f>
        <v>25.02411219178903</v>
      </c>
    </row>
    <row r="99" spans="1:10" ht="19.5" customHeight="1" x14ac:dyDescent="0.3">
      <c r="A99" s="294" t="s">
        <v>35</v>
      </c>
      <c r="B99" s="309"/>
      <c r="C99" s="174" t="s">
        <v>36</v>
      </c>
      <c r="D99" s="178">
        <f>D98/$B$98</f>
        <v>4.6867517933473178E-3</v>
      </c>
      <c r="E99" s="110"/>
      <c r="F99" s="113">
        <f>F98/$B$98</f>
        <v>5.0048224383578057E-3</v>
      </c>
      <c r="G99" s="179"/>
      <c r="H99" s="102"/>
    </row>
    <row r="100" spans="1:10" ht="19.5" customHeight="1" x14ac:dyDescent="0.3">
      <c r="A100" s="296"/>
      <c r="B100" s="310"/>
      <c r="C100" s="174" t="s">
        <v>91</v>
      </c>
      <c r="D100" s="180">
        <f>10/900*10/20</f>
        <v>5.5555555555555558E-3</v>
      </c>
      <c r="F100" s="118"/>
      <c r="G100" s="181"/>
      <c r="H100" s="102"/>
    </row>
    <row r="101" spans="1:10" x14ac:dyDescent="0.3">
      <c r="C101" s="174" t="s">
        <v>37</v>
      </c>
      <c r="D101" s="175">
        <f>D100*$B$98</f>
        <v>27.777777777777779</v>
      </c>
      <c r="F101" s="118"/>
      <c r="G101" s="179"/>
      <c r="H101" s="102"/>
    </row>
    <row r="102" spans="1:10" ht="19.5" customHeight="1" x14ac:dyDescent="0.3">
      <c r="C102" s="182" t="s">
        <v>38</v>
      </c>
      <c r="D102" s="183">
        <f>D101/B34</f>
        <v>28.936269102966989</v>
      </c>
      <c r="F102" s="122"/>
      <c r="G102" s="179"/>
      <c r="H102" s="102"/>
      <c r="J102" s="184"/>
    </row>
    <row r="103" spans="1:10" x14ac:dyDescent="0.3">
      <c r="C103" s="185" t="s">
        <v>62</v>
      </c>
      <c r="D103" s="186">
        <f>AVERAGE(E91:E94,G91:G94)</f>
        <v>3071438.2044468392</v>
      </c>
      <c r="F103" s="122"/>
      <c r="G103" s="187"/>
      <c r="H103" s="102"/>
      <c r="J103" s="188"/>
    </row>
    <row r="104" spans="1:10" x14ac:dyDescent="0.3">
      <c r="C104" s="152" t="s">
        <v>40</v>
      </c>
      <c r="D104" s="189">
        <f>STDEV(E91:E94,G91:G94)/D103</f>
        <v>1.3960370910898244E-3</v>
      </c>
      <c r="F104" s="122"/>
      <c r="G104" s="179"/>
      <c r="H104" s="102"/>
      <c r="J104" s="188"/>
    </row>
    <row r="105" spans="1:10" ht="19.5" customHeight="1" x14ac:dyDescent="0.3">
      <c r="C105" s="154" t="s">
        <v>41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63</v>
      </c>
      <c r="B107" s="75">
        <v>900</v>
      </c>
      <c r="C107" s="191" t="s">
        <v>64</v>
      </c>
      <c r="D107" s="192" t="s">
        <v>21</v>
      </c>
      <c r="E107" s="193" t="s">
        <v>65</v>
      </c>
      <c r="F107" s="194" t="s">
        <v>66</v>
      </c>
    </row>
    <row r="108" spans="1:10" ht="26.25" customHeight="1" x14ac:dyDescent="0.4">
      <c r="A108" s="76" t="s">
        <v>48</v>
      </c>
      <c r="B108" s="77">
        <v>10</v>
      </c>
      <c r="C108" s="195">
        <v>1</v>
      </c>
      <c r="D108" s="196">
        <v>3075317</v>
      </c>
      <c r="E108" s="231">
        <f>IF(ISBLANK(D108),"-",D108/$D$103*$D$100*$B$116)</f>
        <v>10.012628597077242</v>
      </c>
      <c r="F108" s="197">
        <f>IF(ISBLANK(D108), "-", E108/$B$56)</f>
        <v>1.0012628597077242</v>
      </c>
    </row>
    <row r="109" spans="1:10" ht="26.25" customHeight="1" x14ac:dyDescent="0.4">
      <c r="A109" s="76" t="s">
        <v>50</v>
      </c>
      <c r="B109" s="77">
        <v>20</v>
      </c>
      <c r="C109" s="195">
        <v>2</v>
      </c>
      <c r="D109" s="196">
        <v>3119809</v>
      </c>
      <c r="E109" s="232">
        <f t="shared" ref="E109:E113" si="1">IF(ISBLANK(D109),"-",D109/$D$103*$D$100*$B$116)</f>
        <v>10.15748581717558</v>
      </c>
      <c r="F109" s="198">
        <f t="shared" ref="F109:F113" si="2">IF(ISBLANK(D109), "-", E109/$B$56)</f>
        <v>1.015748581717558</v>
      </c>
    </row>
    <row r="110" spans="1:10" ht="26.25" customHeight="1" x14ac:dyDescent="0.4">
      <c r="A110" s="76" t="s">
        <v>51</v>
      </c>
      <c r="B110" s="77">
        <v>1</v>
      </c>
      <c r="C110" s="195">
        <v>3</v>
      </c>
      <c r="D110" s="196">
        <v>3067896</v>
      </c>
      <c r="E110" s="232">
        <f t="shared" si="1"/>
        <v>9.988467277506313</v>
      </c>
      <c r="F110" s="198">
        <f>IF(ISBLANK(D110), "-", E110/$B$56)</f>
        <v>0.99884672775063132</v>
      </c>
    </row>
    <row r="111" spans="1:10" ht="26.25" customHeight="1" x14ac:dyDescent="0.4">
      <c r="A111" s="76" t="s">
        <v>52</v>
      </c>
      <c r="B111" s="77">
        <v>1</v>
      </c>
      <c r="C111" s="195">
        <v>4</v>
      </c>
      <c r="D111" s="196">
        <v>3183419</v>
      </c>
      <c r="E111" s="232">
        <f t="shared" si="1"/>
        <v>10.36458749321746</v>
      </c>
      <c r="F111" s="198">
        <f t="shared" si="2"/>
        <v>1.0364587493217461</v>
      </c>
    </row>
    <row r="112" spans="1:10" ht="26.25" customHeight="1" x14ac:dyDescent="0.4">
      <c r="A112" s="76" t="s">
        <v>53</v>
      </c>
      <c r="B112" s="77">
        <v>1</v>
      </c>
      <c r="C112" s="195">
        <v>5</v>
      </c>
      <c r="D112" s="196">
        <v>3061693</v>
      </c>
      <c r="E112" s="232">
        <f t="shared" si="1"/>
        <v>9.9682715268933944</v>
      </c>
      <c r="F112" s="198">
        <f>IF(ISBLANK(D112), "-", E112/$B$56)</f>
        <v>0.99682715268933941</v>
      </c>
    </row>
    <row r="113" spans="1:10" ht="26.25" customHeight="1" x14ac:dyDescent="0.4">
      <c r="A113" s="76" t="s">
        <v>55</v>
      </c>
      <c r="B113" s="77">
        <v>1</v>
      </c>
      <c r="C113" s="199">
        <v>6</v>
      </c>
      <c r="D113" s="200">
        <v>3230387</v>
      </c>
      <c r="E113" s="233">
        <f t="shared" si="1"/>
        <v>10.517506083381505</v>
      </c>
      <c r="F113" s="201">
        <f t="shared" si="2"/>
        <v>1.0517506083381505</v>
      </c>
    </row>
    <row r="114" spans="1:10" ht="26.25" customHeight="1" x14ac:dyDescent="0.4">
      <c r="A114" s="76" t="s">
        <v>56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57</v>
      </c>
      <c r="B115" s="77">
        <v>1</v>
      </c>
      <c r="C115" s="195"/>
      <c r="D115" s="203"/>
      <c r="E115" s="204" t="s">
        <v>28</v>
      </c>
      <c r="F115" s="205">
        <f>AVERAGE(F108:F113)</f>
        <v>1.0168157799208581</v>
      </c>
    </row>
    <row r="116" spans="1:10" ht="27" customHeight="1" x14ac:dyDescent="0.4">
      <c r="A116" s="76" t="s">
        <v>58</v>
      </c>
      <c r="B116" s="108">
        <f>(B115/B114)*(B113/B112)*(B111/B110)*(B109/B108)*B107</f>
        <v>1800</v>
      </c>
      <c r="C116" s="206"/>
      <c r="D116" s="207"/>
      <c r="E116" s="168" t="s">
        <v>40</v>
      </c>
      <c r="F116" s="208">
        <f>STDEV(F108:F113)/F115</f>
        <v>2.2304234843642339E-2</v>
      </c>
      <c r="I116" s="50"/>
    </row>
    <row r="117" spans="1:10" ht="27" customHeight="1" x14ac:dyDescent="0.4">
      <c r="A117" s="294" t="s">
        <v>35</v>
      </c>
      <c r="B117" s="295"/>
      <c r="C117" s="209"/>
      <c r="D117" s="210"/>
      <c r="E117" s="211" t="s">
        <v>41</v>
      </c>
      <c r="F117" s="212">
        <f>COUNT(F108:F113)</f>
        <v>6</v>
      </c>
      <c r="I117" s="50"/>
      <c r="J117" s="188"/>
    </row>
    <row r="118" spans="1:10" ht="19.5" customHeight="1" x14ac:dyDescent="0.3">
      <c r="A118" s="296"/>
      <c r="B118" s="297"/>
      <c r="C118" s="50"/>
      <c r="D118" s="50"/>
      <c r="E118" s="50"/>
      <c r="F118" s="149"/>
      <c r="G118" s="50"/>
      <c r="H118" s="50"/>
      <c r="I118" s="50"/>
    </row>
    <row r="119" spans="1:10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96</v>
      </c>
      <c r="B120" s="156" t="s">
        <v>102</v>
      </c>
      <c r="C120" s="298" t="str">
        <f>B20</f>
        <v>Rosuvastatin calcium EQ. to Rosuvastatin 10mg</v>
      </c>
      <c r="D120" s="298"/>
      <c r="E120" s="157" t="s">
        <v>103</v>
      </c>
      <c r="F120" s="157"/>
      <c r="G120" s="158">
        <f>F115</f>
        <v>1.0168157799208581</v>
      </c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x14ac:dyDescent="0.3">
      <c r="B122" s="299" t="s">
        <v>67</v>
      </c>
      <c r="C122" s="299"/>
      <c r="E122" s="163" t="s">
        <v>68</v>
      </c>
      <c r="F122" s="215"/>
      <c r="G122" s="299" t="s">
        <v>69</v>
      </c>
      <c r="H122" s="299"/>
    </row>
    <row r="123" spans="1:10" ht="69.95" customHeight="1" x14ac:dyDescent="0.3">
      <c r="A123" s="216" t="s">
        <v>70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71</v>
      </c>
      <c r="B124" s="219"/>
      <c r="C124" s="219"/>
      <c r="E124" s="219"/>
      <c r="F124" s="50"/>
      <c r="G124" s="220"/>
      <c r="H124" s="220"/>
    </row>
    <row r="125" spans="1:10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3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scale="2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Rosuvostatin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Quality Assurance</cp:lastModifiedBy>
  <cp:lastPrinted>2015-09-29T06:17:54Z</cp:lastPrinted>
  <dcterms:created xsi:type="dcterms:W3CDTF">2005-07-05T10:19:27Z</dcterms:created>
  <dcterms:modified xsi:type="dcterms:W3CDTF">2016-01-27T14:13:40Z</dcterms:modified>
</cp:coreProperties>
</file>