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" sheetId="1" r:id="rId1"/>
    <sheet name="Uniformity " sheetId="2" r:id="rId2"/>
    <sheet name="Ampicillin" sheetId="4" r:id="rId3"/>
    <sheet name="Ampicillin final" sheetId="5" r:id="rId4"/>
    <sheet name="SST final" sheetId="6" r:id="rId5"/>
  </sheets>
  <definedNames>
    <definedName name="_xlnm.Print_Area" localSheetId="2">Ampicillin!$A$1:$J$250</definedName>
    <definedName name="_xlnm.Print_Area" localSheetId="3">'Ampicillin final'!$A$1:$H$82</definedName>
    <definedName name="_xlnm.Print_Area" localSheetId="0">SST!$A$14:$G$61</definedName>
    <definedName name="_xlnm.Print_Area" localSheetId="4">'SST final'!$A$14:$G$61</definedName>
    <definedName name="_xlnm.Print_Area" localSheetId="1">'Uniformity '!$A$7:$G$52</definedName>
  </definedNames>
  <calcPr calcId="145621"/>
</workbook>
</file>

<file path=xl/calcChain.xml><?xml version="1.0" encoding="utf-8"?>
<calcChain xmlns="http://schemas.openxmlformats.org/spreadsheetml/2006/main">
  <c r="B21" i="6" l="1"/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H71" i="5"/>
  <c r="G71" i="5"/>
  <c r="B68" i="5"/>
  <c r="B69" i="5" s="1"/>
  <c r="H67" i="5"/>
  <c r="G67" i="5"/>
  <c r="H63" i="5"/>
  <c r="G63" i="5"/>
  <c r="B57" i="5"/>
  <c r="B55" i="5"/>
  <c r="B45" i="5"/>
  <c r="D48" i="5" s="1"/>
  <c r="D49" i="5" s="1"/>
  <c r="F44" i="5"/>
  <c r="F42" i="5"/>
  <c r="D42" i="5"/>
  <c r="G41" i="5"/>
  <c r="E41" i="5"/>
  <c r="B34" i="5"/>
  <c r="D44" i="5" s="1"/>
  <c r="B30" i="5"/>
  <c r="B20" i="5"/>
  <c r="C76" i="5" s="1"/>
  <c r="B18" i="5"/>
  <c r="F45" i="5" l="1"/>
  <c r="G40" i="5" s="1"/>
  <c r="D45" i="5"/>
  <c r="D46" i="5" s="1"/>
  <c r="C56" i="5"/>
  <c r="G38" i="5" l="1"/>
  <c r="G42" i="5" s="1"/>
  <c r="F46" i="5"/>
  <c r="G39" i="5"/>
  <c r="E40" i="5"/>
  <c r="E39" i="5"/>
  <c r="E38" i="5"/>
  <c r="D52" i="5" l="1"/>
  <c r="D50" i="5"/>
  <c r="G68" i="5" s="1"/>
  <c r="H68" i="5" s="1"/>
  <c r="E42" i="5"/>
  <c r="G70" i="5" l="1"/>
  <c r="H70" i="5" s="1"/>
  <c r="D51" i="5"/>
  <c r="G62" i="5"/>
  <c r="H62" i="5" s="1"/>
  <c r="G64" i="5"/>
  <c r="H64" i="5" s="1"/>
  <c r="G61" i="5"/>
  <c r="H61" i="5" s="1"/>
  <c r="G66" i="5"/>
  <c r="H66" i="5" s="1"/>
  <c r="G69" i="5"/>
  <c r="H69" i="5" s="1"/>
  <c r="G65" i="5"/>
  <c r="H65" i="5" s="1"/>
  <c r="G60" i="5"/>
  <c r="H60" i="5" s="1"/>
  <c r="H74" i="5" l="1"/>
  <c r="H72" i="5"/>
  <c r="G76" i="5" s="1"/>
  <c r="H73" i="5" l="1"/>
  <c r="B20" i="4" l="1"/>
  <c r="B18" i="4"/>
  <c r="B21" i="1" l="1"/>
  <c r="B19" i="1"/>
  <c r="B20" i="1"/>
  <c r="B57" i="4"/>
  <c r="C76" i="4"/>
  <c r="H71" i="4"/>
  <c r="G71" i="4"/>
  <c r="H67" i="4"/>
  <c r="G67" i="4"/>
  <c r="H63" i="4"/>
  <c r="G63" i="4"/>
  <c r="C56" i="4"/>
  <c r="B55" i="4"/>
  <c r="B45" i="4"/>
  <c r="D48" i="4" s="1"/>
  <c r="F42" i="4"/>
  <c r="D42" i="4"/>
  <c r="G41" i="4"/>
  <c r="E41" i="4"/>
  <c r="B34" i="4"/>
  <c r="D44" i="4" s="1"/>
  <c r="B30" i="4"/>
  <c r="C43" i="2"/>
  <c r="B43" i="2"/>
  <c r="C42" i="2"/>
  <c r="B42" i="2"/>
  <c r="D40" i="2"/>
  <c r="E40" i="2" s="1"/>
  <c r="D39" i="2"/>
  <c r="E39" i="2" s="1"/>
  <c r="D38" i="2"/>
  <c r="E38" i="2" s="1"/>
  <c r="D37" i="2"/>
  <c r="D36" i="2"/>
  <c r="E36" i="2" s="1"/>
  <c r="D35" i="2"/>
  <c r="E35" i="2" s="1"/>
  <c r="D34" i="2"/>
  <c r="E34" i="2" s="1"/>
  <c r="D33" i="2"/>
  <c r="D32" i="2"/>
  <c r="E32" i="2" s="1"/>
  <c r="D31" i="2"/>
  <c r="E31" i="2" s="1"/>
  <c r="D30" i="2"/>
  <c r="E30" i="2" s="1"/>
  <c r="D29" i="2"/>
  <c r="D28" i="2"/>
  <c r="E28" i="2" s="1"/>
  <c r="D27" i="2"/>
  <c r="E27" i="2" s="1"/>
  <c r="D26" i="2"/>
  <c r="E26" i="2" s="1"/>
  <c r="D25" i="2"/>
  <c r="D24" i="2"/>
  <c r="E24" i="2" s="1"/>
  <c r="D23" i="2"/>
  <c r="E23" i="2" s="1"/>
  <c r="D22" i="2"/>
  <c r="E22" i="2" s="1"/>
  <c r="D21" i="2"/>
  <c r="D43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F44" i="4" l="1"/>
  <c r="F45" i="4" s="1"/>
  <c r="D49" i="4"/>
  <c r="D45" i="4"/>
  <c r="C48" i="2"/>
  <c r="D48" i="2"/>
  <c r="D47" i="2"/>
  <c r="C47" i="2"/>
  <c r="B47" i="2"/>
  <c r="E25" i="2"/>
  <c r="E29" i="2"/>
  <c r="E33" i="2"/>
  <c r="E37" i="2"/>
  <c r="D42" i="2"/>
  <c r="E21" i="2"/>
  <c r="F46" i="4" l="1"/>
  <c r="G38" i="4"/>
  <c r="G40" i="4"/>
  <c r="G39" i="4"/>
  <c r="D46" i="4"/>
  <c r="E39" i="4"/>
  <c r="E40" i="4"/>
  <c r="E38" i="4"/>
  <c r="G42" i="4" l="1"/>
  <c r="E42" i="4"/>
  <c r="D52" i="4"/>
  <c r="D50" i="4"/>
  <c r="D51" i="4" s="1"/>
  <c r="B68" i="4"/>
  <c r="B69" i="4" s="1"/>
  <c r="G65" i="4" l="1"/>
  <c r="H65" i="4" s="1"/>
  <c r="G60" i="4"/>
  <c r="H60" i="4" s="1"/>
  <c r="G69" i="4"/>
  <c r="H69" i="4" s="1"/>
  <c r="G70" i="4"/>
  <c r="H70" i="4" s="1"/>
  <c r="G61" i="4"/>
  <c r="H61" i="4" s="1"/>
  <c r="G66" i="4"/>
  <c r="H66" i="4" s="1"/>
  <c r="G64" i="4"/>
  <c r="H64" i="4" s="1"/>
  <c r="G68" i="4"/>
  <c r="H68" i="4" s="1"/>
  <c r="G62" i="4"/>
  <c r="H62" i="4" s="1"/>
  <c r="H72" i="4" l="1"/>
  <c r="G76" i="4" s="1"/>
  <c r="H74" i="4"/>
  <c r="H73" i="4" l="1"/>
</calcChain>
</file>

<file path=xl/sharedStrings.xml><?xml version="1.0" encoding="utf-8"?>
<sst xmlns="http://schemas.openxmlformats.org/spreadsheetml/2006/main" count="308" uniqueCount="117">
  <si>
    <t>HPLC System Suitability Report</t>
  </si>
  <si>
    <t>Analysis Data</t>
  </si>
  <si>
    <t>Assay</t>
  </si>
  <si>
    <t>Sample(s)</t>
  </si>
  <si>
    <t>Reference Substance:</t>
  </si>
  <si>
    <t>% age Purity:</t>
  </si>
  <si>
    <t>NDQD201511569</t>
  </si>
  <si>
    <t>Weight (mg):</t>
  </si>
  <si>
    <t>Ampicillin BP</t>
  </si>
  <si>
    <t>Standard Conc (mg/mL):</t>
  </si>
  <si>
    <t>Each vial contains 500mg Ampicillin BP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</si>
  <si>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</si>
  <si>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</si>
  <si>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</si>
  <si>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</si>
  <si>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</si>
  <si>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</si>
  <si>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</si>
  <si>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</si>
  <si>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</si>
  <si>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</si>
  <si>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</si>
  <si>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</si>
  <si>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</si>
  <si>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</si>
  <si>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</si>
  <si>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</si>
  <si>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</si>
  <si>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</si>
  <si>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</si>
  <si>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</si>
  <si>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</si>
  <si>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</si>
  <si>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</si>
  <si>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</si>
  <si>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</si>
  <si>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</si>
  <si>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</si>
  <si>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</si>
  <si>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</si>
  <si>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</si>
  <si>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</si>
  <si>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</si>
  <si>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</si>
  <si>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</si>
  <si>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</si>
  <si>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</si>
  <si>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</si>
  <si>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</si>
  <si>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</si>
  <si>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</si>
  <si>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</si>
  <si>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</si>
  <si>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</si>
  <si>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</si>
  <si>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</si>
  <si>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</si>
  <si>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</si>
  <si>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</si>
  <si>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</si>
  <si>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</si>
  <si>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</si>
  <si>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</si>
  <si>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</si>
  <si>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</si>
  <si>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</si>
  <si>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</si>
  <si>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</si>
  <si>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</si>
  <si>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</si>
  <si>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</si>
  <si>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</si>
  <si>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</si>
  <si>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</si>
  <si>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</si>
  <si>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</si>
  <si>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</si>
  <si>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</si>
  <si>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</si>
  <si>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</si>
  <si>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</si>
  <si>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</si>
  <si>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</si>
  <si>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</si>
  <si>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 xml:space="preserve">Label Claim: </t>
  </si>
  <si>
    <t>Initial Sample dilution (mL):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</si>
  <si>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</si>
  <si>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</si>
  <si>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</si>
  <si>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</si>
  <si>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</si>
  <si>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</si>
  <si>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</si>
  <si>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</si>
  <si>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</si>
  <si>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</si>
  <si>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</si>
  <si>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</si>
  <si>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</si>
  <si>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</si>
  <si>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</si>
  <si>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</si>
  <si>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</si>
  <si>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t>Initial    Standard dilution (mL):</t>
  </si>
  <si>
    <t>Determination of Content of Active Ingredient in the Sample</t>
  </si>
  <si>
    <t>Each Vial contains</t>
  </si>
  <si>
    <t>Average Vial Content Weight (mg):</t>
  </si>
  <si>
    <t>Sample Weight (mg)</t>
  </si>
  <si>
    <t>Desired Sample Weight (mg):</t>
  </si>
  <si>
    <t>Each vial contains 500mg of ampicillin BP</t>
  </si>
  <si>
    <t>AMPIMED INJECTION</t>
  </si>
  <si>
    <t>Kefa Bota</t>
  </si>
  <si>
    <t>Ampicillin Trihydrate</t>
  </si>
  <si>
    <t>27/01/2016</t>
  </si>
  <si>
    <t>29/01/2016</t>
  </si>
  <si>
    <t>A 43-1</t>
  </si>
  <si>
    <t>AMPIMED INJECTION (NDQD201511569)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</si>
</sst>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  <numFmt numFmtId="173" formatCode="0.0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i/>
      <sz val="14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2"/>
      <color rgb="FF000000"/>
      <name val="Book Antiqua"/>
    </font>
    <font>
      <b/>
      <sz val="2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3" borderId="3" xfId="0" applyFont="1" applyFill="1" applyBorder="1" applyAlignment="1" applyProtection="1">
      <alignment horizontal="center"/>
      <protection locked="0"/>
    </xf>
    <xf numFmtId="2" fontId="6" fillId="3" borderId="3" xfId="0" applyNumberFormat="1" applyFont="1" applyFill="1" applyBorder="1" applyAlignment="1" applyProtection="1">
      <alignment horizontal="center"/>
      <protection locked="0"/>
    </xf>
    <xf numFmtId="2" fontId="6" fillId="3" borderId="4" xfId="0" applyNumberFormat="1" applyFont="1" applyFill="1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/>
      <protection locked="0"/>
    </xf>
    <xf numFmtId="2" fontId="6" fillId="3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/>
    <xf numFmtId="1" fontId="4" fillId="4" borderId="2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5" fillId="2" borderId="3" xfId="0" applyFont="1" applyFill="1" applyBorder="1"/>
    <xf numFmtId="10" fontId="4" fillId="5" borderId="1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5" fillId="2" borderId="6" xfId="0" applyFont="1" applyFill="1" applyBorder="1"/>
    <xf numFmtId="0" fontId="5" fillId="2" borderId="5" xfId="0" applyFont="1" applyFill="1" applyBorder="1"/>
    <xf numFmtId="0" fontId="4" fillId="4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7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0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20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5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4" fillId="3" borderId="40" xfId="0" applyFont="1" applyFill="1" applyBorder="1" applyAlignment="1" applyProtection="1">
      <alignment horizontal="center"/>
      <protection locked="0"/>
    </xf>
    <xf numFmtId="171" fontId="11" fillId="2" borderId="51" xfId="0" applyNumberFormat="1" applyFont="1" applyFill="1" applyBorder="1" applyAlignment="1">
      <alignment horizontal="center"/>
    </xf>
    <xf numFmtId="171" fontId="11" fillId="2" borderId="38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52" xfId="0" applyNumberFormat="1" applyFont="1" applyFill="1" applyBorder="1" applyAlignment="1">
      <alignment horizontal="center"/>
    </xf>
    <xf numFmtId="171" fontId="11" fillId="2" borderId="41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2" xfId="0" applyFont="1" applyFill="1" applyBorder="1" applyAlignment="1" applyProtection="1">
      <alignment horizontal="center"/>
      <protection locked="0"/>
    </xf>
    <xf numFmtId="171" fontId="11" fillId="2" borderId="53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54" xfId="0" applyNumberFormat="1" applyFont="1" applyFill="1" applyBorder="1" applyAlignment="1">
      <alignment horizontal="center"/>
    </xf>
    <xf numFmtId="171" fontId="12" fillId="6" borderId="4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47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46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46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47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46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48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48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173" fontId="4" fillId="4" borderId="1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2" fontId="6" fillId="3" borderId="52" xfId="0" applyNumberFormat="1" applyFont="1" applyFill="1" applyBorder="1" applyAlignment="1" applyProtection="1">
      <alignment horizontal="center"/>
      <protection locked="0"/>
    </xf>
    <xf numFmtId="2" fontId="6" fillId="3" borderId="53" xfId="0" applyNumberFormat="1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>
      <alignment horizontal="center"/>
    </xf>
    <xf numFmtId="2" fontId="4" fillId="4" borderId="5" xfId="0" applyNumberFormat="1" applyFont="1" applyFill="1" applyBorder="1" applyAlignment="1">
      <alignment horizontal="center"/>
    </xf>
    <xf numFmtId="2" fontId="6" fillId="3" borderId="55" xfId="0" applyNumberFormat="1" applyFont="1" applyFill="1" applyBorder="1" applyAlignment="1" applyProtection="1">
      <alignment horizontal="center"/>
      <protection locked="0"/>
    </xf>
    <xf numFmtId="2" fontId="6" fillId="3" borderId="56" xfId="0" applyNumberFormat="1" applyFont="1" applyFill="1" applyBorder="1" applyAlignment="1" applyProtection="1">
      <alignment horizontal="center"/>
      <protection locked="0"/>
    </xf>
    <xf numFmtId="2" fontId="6" fillId="3" borderId="57" xfId="0" applyNumberFormat="1" applyFont="1" applyFill="1" applyBorder="1" applyAlignment="1" applyProtection="1">
      <alignment horizontal="center"/>
      <protection locked="0"/>
    </xf>
    <xf numFmtId="2" fontId="22" fillId="2" borderId="0" xfId="0" applyNumberFormat="1" applyFont="1" applyFill="1" applyAlignment="1">
      <alignment horizontal="center"/>
    </xf>
    <xf numFmtId="164" fontId="22" fillId="2" borderId="0" xfId="0" applyNumberFormat="1" applyFont="1" applyFill="1" applyAlignment="1">
      <alignment horizontal="center"/>
    </xf>
    <xf numFmtId="0" fontId="23" fillId="3" borderId="33" xfId="0" applyFont="1" applyFill="1" applyBorder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0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46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7" fillId="2" borderId="4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49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49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47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</cellXfs>
  <cellStyles count="1">
    <cellStyle name="Normal" xfId="0" builtinId="0"/>
  </cellStyles>
  <dxfs count="24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3" zoomScale="60" zoomScaleNormal="100" workbookViewId="0">
      <selection activeCell="B19" sqref="B1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54" t="s">
        <v>0</v>
      </c>
      <c r="B15" s="254"/>
      <c r="C15" s="254"/>
      <c r="D15" s="254"/>
      <c r="E15" s="25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110</v>
      </c>
      <c r="D17" s="9"/>
      <c r="E17" s="10"/>
    </row>
    <row r="18" spans="1:6" ht="16.5" customHeight="1" x14ac:dyDescent="0.3">
      <c r="A18" s="11" t="s">
        <v>4</v>
      </c>
      <c r="B18" s="8" t="s">
        <v>112</v>
      </c>
      <c r="C18" s="10"/>
      <c r="D18" s="10"/>
      <c r="E18" s="10"/>
    </row>
    <row r="19" spans="1:6" ht="16.5" customHeight="1" x14ac:dyDescent="0.3">
      <c r="A19" s="11" t="s">
        <v>5</v>
      </c>
      <c r="B19" s="12">
        <f>Ampicillin!B28</f>
        <v>98.32</v>
      </c>
      <c r="C19" s="10"/>
      <c r="D19" s="10"/>
      <c r="E19" s="10"/>
    </row>
    <row r="20" spans="1:6" ht="16.5" customHeight="1" x14ac:dyDescent="0.3">
      <c r="A20" s="7" t="s">
        <v>7</v>
      </c>
      <c r="B20" s="12">
        <f>Ampicillin!D43</f>
        <v>20.22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B20/100</f>
        <v>0.20219999999999999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40605807</v>
      </c>
      <c r="C24" s="18">
        <v>7876.9</v>
      </c>
      <c r="D24" s="19">
        <v>1.3</v>
      </c>
      <c r="E24" s="20">
        <v>4.0999999999999996</v>
      </c>
    </row>
    <row r="25" spans="1:6" ht="16.5" customHeight="1" x14ac:dyDescent="0.3">
      <c r="A25" s="17">
        <v>2</v>
      </c>
      <c r="B25" s="18">
        <v>40495080</v>
      </c>
      <c r="C25" s="18">
        <v>7648.9</v>
      </c>
      <c r="D25" s="19">
        <v>1.4</v>
      </c>
      <c r="E25" s="19">
        <v>4.0999999999999996</v>
      </c>
    </row>
    <row r="26" spans="1:6" ht="16.5" customHeight="1" x14ac:dyDescent="0.3">
      <c r="A26" s="17">
        <v>3</v>
      </c>
      <c r="B26" s="18">
        <v>40509853</v>
      </c>
      <c r="C26" s="18">
        <v>7842.2</v>
      </c>
      <c r="D26" s="19">
        <v>1.4</v>
      </c>
      <c r="E26" s="19">
        <v>4.0999999999999996</v>
      </c>
    </row>
    <row r="27" spans="1:6" ht="16.5" customHeight="1" x14ac:dyDescent="0.3">
      <c r="A27" s="17">
        <v>4</v>
      </c>
      <c r="B27" s="18">
        <v>40839949</v>
      </c>
      <c r="C27" s="18">
        <v>7636.5</v>
      </c>
      <c r="D27" s="19">
        <v>1.4</v>
      </c>
      <c r="E27" s="19">
        <v>4.0999999999999996</v>
      </c>
    </row>
    <row r="28" spans="1:6" ht="16.5" customHeight="1" x14ac:dyDescent="0.3">
      <c r="A28" s="17">
        <v>5</v>
      </c>
      <c r="B28" s="18">
        <v>40397952</v>
      </c>
      <c r="C28" s="18">
        <v>7818.7</v>
      </c>
      <c r="D28" s="19">
        <v>1.4</v>
      </c>
      <c r="E28" s="19">
        <v>4.0999999999999996</v>
      </c>
    </row>
    <row r="29" spans="1:6" ht="16.5" customHeight="1" x14ac:dyDescent="0.3">
      <c r="A29" s="17">
        <v>6</v>
      </c>
      <c r="B29" s="21">
        <v>40651780</v>
      </c>
      <c r="C29" s="21">
        <v>7615.3</v>
      </c>
      <c r="D29" s="22">
        <v>1.4</v>
      </c>
      <c r="E29" s="22">
        <v>4.0999999999999996</v>
      </c>
    </row>
    <row r="30" spans="1:6" ht="16.5" customHeight="1" x14ac:dyDescent="0.3">
      <c r="A30" s="23" t="s">
        <v>16</v>
      </c>
      <c r="B30" s="24">
        <f>AVERAGE(B24:B29)</f>
        <v>40583403.5</v>
      </c>
      <c r="C30" s="237">
        <f>AVERAGE(C24:C29)</f>
        <v>7739.75</v>
      </c>
      <c r="D30" s="26">
        <f>AVERAGE(D24:D29)</f>
        <v>1.3833333333333335</v>
      </c>
      <c r="E30" s="26">
        <f>AVERAGE(E24:E29)</f>
        <v>4.1000000000000005</v>
      </c>
    </row>
    <row r="31" spans="1:6" ht="16.5" customHeight="1" x14ac:dyDescent="0.3">
      <c r="A31" s="27" t="s">
        <v>17</v>
      </c>
      <c r="B31" s="28">
        <f>(STDEV(B24:B29)/B30)</f>
        <v>3.7949079350810769E-3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/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7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55" t="s">
        <v>24</v>
      </c>
      <c r="C59" s="255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 t="s">
        <v>111</v>
      </c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view="pageBreakPreview" zoomScale="60" zoomScaleNormal="100" workbookViewId="0">
      <selection activeCell="C17" sqref="C17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customHeight="1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customHeight="1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customHeight="1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customHeight="1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customHeight="1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customHeight="1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customHeight="1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61" t="s">
        <v>29</v>
      </c>
      <c r="B8" s="261"/>
      <c r="C8" s="261"/>
      <c r="D8" s="261"/>
      <c r="E8" s="261"/>
      <c r="F8" s="261"/>
      <c r="G8" s="261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62" t="s">
        <v>30</v>
      </c>
      <c r="B10" s="262"/>
      <c r="C10" s="262"/>
      <c r="D10" s="262"/>
      <c r="E10" s="262"/>
      <c r="F10" s="262"/>
      <c r="G10" s="262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56" t="s">
        <v>31</v>
      </c>
      <c r="B11" s="256"/>
      <c r="C11" s="73" t="s">
        <v>110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56" t="s">
        <v>32</v>
      </c>
      <c r="B12" s="256"/>
      <c r="C12" s="73" t="s">
        <v>6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56" t="s">
        <v>33</v>
      </c>
      <c r="B13" s="256"/>
      <c r="C13" s="73" t="s">
        <v>8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56" t="s">
        <v>34</v>
      </c>
      <c r="B14" s="256"/>
      <c r="C14" s="260" t="s">
        <v>10</v>
      </c>
      <c r="D14" s="260"/>
      <c r="E14" s="260"/>
      <c r="F14" s="260"/>
      <c r="G14" s="260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56" t="s">
        <v>35</v>
      </c>
      <c r="B15" s="256"/>
      <c r="C15" s="74" t="s">
        <v>113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56" t="s">
        <v>36</v>
      </c>
      <c r="B16" s="256"/>
      <c r="C16" s="74" t="s">
        <v>114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57" t="s">
        <v>1</v>
      </c>
      <c r="B18" s="257"/>
      <c r="C18" s="75" t="s">
        <v>37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38</v>
      </c>
      <c r="B20" s="78" t="s">
        <v>39</v>
      </c>
      <c r="C20" s="79" t="s">
        <v>40</v>
      </c>
      <c r="D20" s="77" t="s">
        <v>41</v>
      </c>
      <c r="E20" s="80" t="s">
        <v>42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customHeight="1" x14ac:dyDescent="0.3">
      <c r="A21" s="81">
        <v>1</v>
      </c>
      <c r="B21" s="82">
        <v>15438.72</v>
      </c>
      <c r="C21" s="83">
        <v>14872.11</v>
      </c>
      <c r="D21" s="84">
        <f t="shared" ref="D21:D40" si="0">B21-C21</f>
        <v>566.60999999999876</v>
      </c>
      <c r="E21" s="85">
        <f t="shared" ref="E21:E40" si="1">(D21-$D$43)/$D$43</f>
        <v>-2.9465874927104593E-3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customHeight="1" x14ac:dyDescent="0.3">
      <c r="A22" s="86">
        <v>2</v>
      </c>
      <c r="B22" s="87">
        <v>16243.8</v>
      </c>
      <c r="C22" s="88">
        <v>15678.55</v>
      </c>
      <c r="D22" s="89">
        <f t="shared" si="0"/>
        <v>565.25</v>
      </c>
      <c r="E22" s="85">
        <f t="shared" si="1"/>
        <v>-5.3397549994764594E-3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customHeight="1" x14ac:dyDescent="0.3">
      <c r="A23" s="86">
        <v>3</v>
      </c>
      <c r="B23" s="87">
        <v>15772.34</v>
      </c>
      <c r="C23" s="88">
        <v>15211.89</v>
      </c>
      <c r="D23" s="89">
        <f t="shared" si="0"/>
        <v>560.45000000000073</v>
      </c>
      <c r="E23" s="85">
        <f t="shared" si="1"/>
        <v>-1.3786228552774627E-2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customHeight="1" x14ac:dyDescent="0.3">
      <c r="A24" s="86">
        <v>4</v>
      </c>
      <c r="B24" s="87">
        <v>15894.81</v>
      </c>
      <c r="C24" s="88">
        <v>15320.62</v>
      </c>
      <c r="D24" s="89">
        <f t="shared" si="0"/>
        <v>574.18999999999869</v>
      </c>
      <c r="E24" s="85">
        <f t="shared" si="1"/>
        <v>1.0391801993541458E-2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customHeight="1" x14ac:dyDescent="0.3">
      <c r="A25" s="86">
        <v>5</v>
      </c>
      <c r="B25" s="87">
        <v>15782.45</v>
      </c>
      <c r="C25" s="88">
        <v>15199.6</v>
      </c>
      <c r="D25" s="89">
        <f t="shared" si="0"/>
        <v>582.85000000000036</v>
      </c>
      <c r="E25" s="85">
        <f t="shared" si="1"/>
        <v>2.5630648029288824E-2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customHeight="1" x14ac:dyDescent="0.3">
      <c r="A26" s="86">
        <v>6</v>
      </c>
      <c r="B26" s="87">
        <v>15807.72</v>
      </c>
      <c r="C26" s="88">
        <v>15236.7</v>
      </c>
      <c r="D26" s="89">
        <f t="shared" si="0"/>
        <v>571.01999999999862</v>
      </c>
      <c r="E26" s="85">
        <f t="shared" si="1"/>
        <v>4.8136100843831527E-3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customHeight="1" x14ac:dyDescent="0.3">
      <c r="A27" s="86">
        <v>7</v>
      </c>
      <c r="B27" s="87">
        <v>15642.87</v>
      </c>
      <c r="C27" s="88">
        <v>15068.31</v>
      </c>
      <c r="D27" s="89">
        <f t="shared" si="0"/>
        <v>574.56000000000131</v>
      </c>
      <c r="E27" s="85">
        <f t="shared" si="1"/>
        <v>1.1042884329946233E-2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customHeight="1" x14ac:dyDescent="0.3">
      <c r="A28" s="86">
        <v>8</v>
      </c>
      <c r="B28" s="87">
        <v>16268.22</v>
      </c>
      <c r="C28" s="88">
        <v>15702.43</v>
      </c>
      <c r="D28" s="89">
        <f t="shared" si="0"/>
        <v>565.78999999999905</v>
      </c>
      <c r="E28" s="85">
        <f t="shared" si="1"/>
        <v>-4.3895267247319363E-3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customHeight="1" x14ac:dyDescent="0.3">
      <c r="A29" s="86">
        <v>9</v>
      </c>
      <c r="B29" s="87">
        <v>15489.79</v>
      </c>
      <c r="C29" s="88">
        <v>14914.94</v>
      </c>
      <c r="D29" s="89">
        <f t="shared" si="0"/>
        <v>574.85000000000036</v>
      </c>
      <c r="E29" s="85">
        <f t="shared" si="1"/>
        <v>1.1553192107123076E-2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customHeight="1" x14ac:dyDescent="0.3">
      <c r="A30" s="86">
        <v>10</v>
      </c>
      <c r="B30" s="90">
        <v>15584.44</v>
      </c>
      <c r="C30" s="88">
        <v>15015.59</v>
      </c>
      <c r="D30" s="89">
        <f t="shared" si="0"/>
        <v>568.85000000000036</v>
      </c>
      <c r="E30" s="85">
        <f t="shared" si="1"/>
        <v>9.9510016549876667E-4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customHeight="1" x14ac:dyDescent="0.3">
      <c r="A31" s="86">
        <v>11</v>
      </c>
      <c r="B31" s="90">
        <v>16022.51</v>
      </c>
      <c r="C31" s="88">
        <v>15466.14</v>
      </c>
      <c r="D31" s="89">
        <f t="shared" si="0"/>
        <v>556.3700000000008</v>
      </c>
      <c r="E31" s="85">
        <f t="shared" si="1"/>
        <v>-2.096573107307903E-2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customHeight="1" x14ac:dyDescent="0.3">
      <c r="A32" s="86">
        <v>12</v>
      </c>
      <c r="B32" s="90">
        <v>15812.35</v>
      </c>
      <c r="C32" s="88">
        <v>15251.78</v>
      </c>
      <c r="D32" s="89">
        <f t="shared" si="0"/>
        <v>560.56999999999971</v>
      </c>
      <c r="E32" s="85">
        <f t="shared" si="1"/>
        <v>-1.3575066713943934E-2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customHeight="1" x14ac:dyDescent="0.3">
      <c r="A33" s="86">
        <v>13</v>
      </c>
      <c r="B33" s="90">
        <v>16008.41</v>
      </c>
      <c r="C33" s="88">
        <v>15440.1</v>
      </c>
      <c r="D33" s="89">
        <f t="shared" si="0"/>
        <v>568.30999999999949</v>
      </c>
      <c r="E33" s="85">
        <f t="shared" si="1"/>
        <v>4.4871890751042294E-5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customHeight="1" x14ac:dyDescent="0.3">
      <c r="A34" s="86">
        <v>14</v>
      </c>
      <c r="B34" s="90">
        <v>16166.13</v>
      </c>
      <c r="C34" s="88">
        <v>15592.19</v>
      </c>
      <c r="D34" s="89">
        <f t="shared" si="0"/>
        <v>573.93999999999869</v>
      </c>
      <c r="E34" s="85">
        <f t="shared" si="1"/>
        <v>9.9518814959737786E-3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customHeight="1" x14ac:dyDescent="0.3">
      <c r="A35" s="86">
        <v>15</v>
      </c>
      <c r="B35" s="90">
        <v>15904.2</v>
      </c>
      <c r="C35" s="88">
        <v>15338.64</v>
      </c>
      <c r="D35" s="89">
        <f t="shared" si="0"/>
        <v>565.56000000000131</v>
      </c>
      <c r="E35" s="85">
        <f t="shared" si="1"/>
        <v>-4.7942535824902323E-3</v>
      </c>
      <c r="G35" s="59"/>
      <c r="J35" s="59"/>
      <c r="K35" s="65"/>
      <c r="L35" s="60"/>
      <c r="N35" s="60"/>
    </row>
    <row r="36" spans="1:15" ht="15" customHeight="1" x14ac:dyDescent="0.3">
      <c r="A36" s="86">
        <v>16</v>
      </c>
      <c r="B36" s="90">
        <v>15719.49</v>
      </c>
      <c r="C36" s="88">
        <v>15151.05</v>
      </c>
      <c r="D36" s="89">
        <f t="shared" si="0"/>
        <v>568.44000000000051</v>
      </c>
      <c r="E36" s="85">
        <f t="shared" si="1"/>
        <v>2.7363054948802813E-4</v>
      </c>
      <c r="G36" s="66"/>
      <c r="H36" s="66"/>
    </row>
    <row r="37" spans="1:15" ht="15" customHeight="1" x14ac:dyDescent="0.3">
      <c r="A37" s="86">
        <v>17</v>
      </c>
      <c r="B37" s="90">
        <v>15885.9</v>
      </c>
      <c r="C37" s="88">
        <v>15314.76</v>
      </c>
      <c r="D37" s="89">
        <f t="shared" si="0"/>
        <v>571.13999999999942</v>
      </c>
      <c r="E37" s="85">
        <f t="shared" si="1"/>
        <v>5.024771923217047E-3</v>
      </c>
    </row>
    <row r="38" spans="1:15" ht="15" customHeight="1" x14ac:dyDescent="0.3">
      <c r="A38" s="86">
        <v>18</v>
      </c>
      <c r="B38" s="90">
        <v>15682.92</v>
      </c>
      <c r="C38" s="88">
        <v>15115.41</v>
      </c>
      <c r="D38" s="89">
        <f t="shared" si="0"/>
        <v>567.51000000000022</v>
      </c>
      <c r="E38" s="85">
        <f t="shared" si="1"/>
        <v>-1.362873701464252E-3</v>
      </c>
    </row>
    <row r="39" spans="1:15" ht="15" customHeight="1" x14ac:dyDescent="0.3">
      <c r="A39" s="86">
        <v>19</v>
      </c>
      <c r="B39" s="90">
        <v>16151</v>
      </c>
      <c r="C39" s="88">
        <v>15587.57</v>
      </c>
      <c r="D39" s="89">
        <f t="shared" si="0"/>
        <v>563.43000000000029</v>
      </c>
      <c r="E39" s="85">
        <f t="shared" si="1"/>
        <v>-8.5423762217686546E-3</v>
      </c>
    </row>
    <row r="40" spans="1:15" ht="14.25" customHeight="1" x14ac:dyDescent="0.3">
      <c r="A40" s="91">
        <v>20</v>
      </c>
      <c r="B40" s="92">
        <v>15943.72</v>
      </c>
      <c r="C40" s="93">
        <v>15377.72</v>
      </c>
      <c r="D40" s="94">
        <f t="shared" si="0"/>
        <v>566</v>
      </c>
      <c r="E40" s="95">
        <f t="shared" si="1"/>
        <v>-4.0199935067734205E-3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43</v>
      </c>
      <c r="B42" s="97">
        <f>SUM(B21:B40)</f>
        <v>317221.78999999998</v>
      </c>
      <c r="C42" s="98">
        <f>SUM(C21:C40)</f>
        <v>305856.09999999998</v>
      </c>
      <c r="D42" s="99">
        <f>SUM(D21:D40)</f>
        <v>11365.689999999999</v>
      </c>
    </row>
    <row r="43" spans="1:15" ht="15.75" customHeight="1" x14ac:dyDescent="0.3">
      <c r="A43" s="100" t="s">
        <v>44</v>
      </c>
      <c r="B43" s="101">
        <f>AVERAGE(B21:B40)</f>
        <v>15861.089499999998</v>
      </c>
      <c r="C43" s="102">
        <f>AVERAGE(C21:C40)</f>
        <v>15292.804999999998</v>
      </c>
      <c r="D43" s="103">
        <f>AVERAGE(D21:D40)</f>
        <v>568.28449999999998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44</v>
      </c>
      <c r="C46" s="106" t="s">
        <v>45</v>
      </c>
    </row>
    <row r="47" spans="1:15" ht="15.75" customHeight="1" x14ac:dyDescent="0.3">
      <c r="B47" s="258">
        <f>D43</f>
        <v>568.28449999999998</v>
      </c>
      <c r="C47" s="107">
        <f>-(IF(D43&gt;300, 7.5%, 10%))</f>
        <v>-7.4999999999999997E-2</v>
      </c>
      <c r="D47" s="108">
        <f>IF(D43&lt;300, D43*0.9, D43*0.925)</f>
        <v>525.6631625</v>
      </c>
    </row>
    <row r="48" spans="1:15" ht="15.75" customHeight="1" x14ac:dyDescent="0.3">
      <c r="B48" s="259"/>
      <c r="C48" s="109">
        <f>+(IF(D43&gt;300, 7.5%, 10%))</f>
        <v>7.4999999999999997E-2</v>
      </c>
      <c r="D48" s="108">
        <f>IF(D43&lt;300, D43*1.1, D43*1.075)</f>
        <v>610.90583749999996</v>
      </c>
    </row>
    <row r="49" spans="1:7" ht="14.25" customHeight="1" x14ac:dyDescent="0.3">
      <c r="A49" s="110"/>
      <c r="D49" s="111"/>
    </row>
    <row r="50" spans="1:7" ht="15" customHeight="1" x14ac:dyDescent="0.3">
      <c r="B50" s="255" t="s">
        <v>24</v>
      </c>
      <c r="C50" s="255"/>
      <c r="D50" s="73"/>
      <c r="E50" s="112" t="s">
        <v>25</v>
      </c>
      <c r="F50" s="113"/>
      <c r="G50" s="112" t="s">
        <v>26</v>
      </c>
    </row>
    <row r="51" spans="1:7" ht="15" customHeight="1" x14ac:dyDescent="0.3">
      <c r="A51" s="114" t="s">
        <v>27</v>
      </c>
      <c r="B51" s="115" t="s">
        <v>111</v>
      </c>
      <c r="C51" s="115"/>
      <c r="D51" s="73"/>
      <c r="E51" s="115"/>
      <c r="F51" s="67"/>
      <c r="G51" s="116"/>
    </row>
    <row r="52" spans="1:7" ht="15" customHeight="1" x14ac:dyDescent="0.3">
      <c r="A52" s="114" t="s">
        <v>28</v>
      </c>
      <c r="B52" s="117"/>
      <c r="C52" s="117"/>
      <c r="D52" s="73"/>
      <c r="E52" s="117"/>
      <c r="F52" s="67"/>
      <c r="G52" s="118"/>
    </row>
  </sheetData>
  <sheetProtection password="F3F3"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3" priority="1" operator="notBetween">
      <formula>IF(+$D$43&lt;300, -10.5%, -7.5%)</formula>
      <formula>IF(+$D$43&lt;300, 10.5%, 7.5%)</formula>
    </cfRule>
  </conditionalFormatting>
  <conditionalFormatting sqref="E22">
    <cfRule type="cellIs" dxfId="22" priority="2" operator="notBetween">
      <formula>IF(+$D$43&lt;300, -10.5%, -7.5%)</formula>
      <formula>IF(+$D$43&lt;300, 10.5%, 7.5%)</formula>
    </cfRule>
  </conditionalFormatting>
  <conditionalFormatting sqref="E23">
    <cfRule type="cellIs" dxfId="21" priority="3" operator="notBetween">
      <formula>IF(+$D$43&lt;300, -10.5%, -7.5%)</formula>
      <formula>IF(+$D$43&lt;300, 10.5%, 7.5%)</formula>
    </cfRule>
  </conditionalFormatting>
  <conditionalFormatting sqref="E24">
    <cfRule type="cellIs" dxfId="20" priority="4" operator="notBetween">
      <formula>IF(+$D$43&lt;300, -10.5%, -7.5%)</formula>
      <formula>IF(+$D$43&lt;300, 10.5%, 7.5%)</formula>
    </cfRule>
  </conditionalFormatting>
  <conditionalFormatting sqref="E25">
    <cfRule type="cellIs" dxfId="19" priority="5" operator="notBetween">
      <formula>IF(+$D$43&lt;300, -10.5%, -7.5%)</formula>
      <formula>IF(+$D$43&lt;300, 10.5%, 7.5%)</formula>
    </cfRule>
  </conditionalFormatting>
  <conditionalFormatting sqref="E26">
    <cfRule type="cellIs" dxfId="18" priority="6" operator="notBetween">
      <formula>IF(+$D$43&lt;300, -10.5%, -7.5%)</formula>
      <formula>IF(+$D$43&lt;300, 10.5%, 7.5%)</formula>
    </cfRule>
  </conditionalFormatting>
  <conditionalFormatting sqref="E27">
    <cfRule type="cellIs" dxfId="17" priority="7" operator="notBetween">
      <formula>IF(+$D$43&lt;300, -10.5%, -7.5%)</formula>
      <formula>IF(+$D$43&lt;300, 10.5%, 7.5%)</formula>
    </cfRule>
  </conditionalFormatting>
  <conditionalFormatting sqref="E28">
    <cfRule type="cellIs" dxfId="16" priority="8" operator="notBetween">
      <formula>IF(+$D$43&lt;300, -10.5%, -7.5%)</formula>
      <formula>IF(+$D$43&lt;300, 10.5%, 7.5%)</formula>
    </cfRule>
  </conditionalFormatting>
  <conditionalFormatting sqref="E29">
    <cfRule type="cellIs" dxfId="15" priority="9" operator="notBetween">
      <formula>IF(+$D$43&lt;300, -10.5%, -7.5%)</formula>
      <formula>IF(+$D$43&lt;300, 10.5%, 7.5%)</formula>
    </cfRule>
  </conditionalFormatting>
  <conditionalFormatting sqref="E30">
    <cfRule type="cellIs" dxfId="14" priority="10" operator="notBetween">
      <formula>IF(+$D$43&lt;300, -10.5%, -7.5%)</formula>
      <formula>IF(+$D$43&lt;300, 10.5%, 7.5%)</formula>
    </cfRule>
  </conditionalFormatting>
  <conditionalFormatting sqref="E31">
    <cfRule type="cellIs" dxfId="13" priority="11" operator="notBetween">
      <formula>IF(+$D$43&lt;300, -10.5%, -7.5%)</formula>
      <formula>IF(+$D$43&lt;300, 10.5%, 7.5%)</formula>
    </cfRule>
  </conditionalFormatting>
  <conditionalFormatting sqref="E32">
    <cfRule type="cellIs" dxfId="12" priority="12" operator="notBetween">
      <formula>IF(+$D$43&lt;300, -10.5%, -7.5%)</formula>
      <formula>IF(+$D$43&lt;300, 10.5%, 7.5%)</formula>
    </cfRule>
  </conditionalFormatting>
  <conditionalFormatting sqref="E33">
    <cfRule type="cellIs" dxfId="11" priority="13" operator="notBetween">
      <formula>IF(+$D$43&lt;300, -10.5%, -7.5%)</formula>
      <formula>IF(+$D$43&lt;300, 10.5%, 7.5%)</formula>
    </cfRule>
  </conditionalFormatting>
  <conditionalFormatting sqref="E34">
    <cfRule type="cellIs" dxfId="10" priority="14" operator="notBetween">
      <formula>IF(+$D$43&lt;300, -10.5%, -7.5%)</formula>
      <formula>IF(+$D$43&lt;300, 10.5%, 7.5%)</formula>
    </cfRule>
  </conditionalFormatting>
  <conditionalFormatting sqref="E35">
    <cfRule type="cellIs" dxfId="9" priority="15" operator="notBetween">
      <formula>IF(+$D$43&lt;300, -10.5%, -7.5%)</formula>
      <formula>IF(+$D$43&lt;300, 10.5%, 7.5%)</formula>
    </cfRule>
  </conditionalFormatting>
  <conditionalFormatting sqref="E36">
    <cfRule type="cellIs" dxfId="8" priority="16" operator="notBetween">
      <formula>IF(+$D$43&lt;300, -10.5%, -7.5%)</formula>
      <formula>IF(+$D$43&lt;300, 10.5%, 7.5%)</formula>
    </cfRule>
  </conditionalFormatting>
  <conditionalFormatting sqref="E37">
    <cfRule type="cellIs" dxfId="7" priority="17" operator="notBetween">
      <formula>IF(+$D$43&lt;300, -10.5%, -7.5%)</formula>
      <formula>IF(+$D$43&lt;300, 10.5%, 7.5%)</formula>
    </cfRule>
  </conditionalFormatting>
  <conditionalFormatting sqref="E38">
    <cfRule type="cellIs" dxfId="6" priority="18" operator="notBetween">
      <formula>IF(+$D$43&lt;300, -10.5%, -7.5%)</formula>
      <formula>IF(+$D$43&lt;300, 10.5%, 7.5%)</formula>
    </cfRule>
  </conditionalFormatting>
  <conditionalFormatting sqref="E39">
    <cfRule type="cellIs" dxfId="5" priority="19" operator="notBetween">
      <formula>IF(+$D$43&lt;300, -10.5%, -7.5%)</formula>
      <formula>IF(+$D$43&lt;300, 10.5%, 7.5%)</formula>
    </cfRule>
  </conditionalFormatting>
  <conditionalFormatting sqref="E40">
    <cfRule type="cellIs" dxfId="4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zoomScale="60" zoomScaleNormal="78" workbookViewId="0">
      <selection activeCell="B20" sqref="B20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63" t="s">
        <v>46</v>
      </c>
      <c r="B1" s="263"/>
      <c r="C1" s="263"/>
      <c r="D1" s="263"/>
      <c r="E1" s="263"/>
      <c r="F1" s="263"/>
      <c r="G1" s="263"/>
      <c r="H1" s="263"/>
    </row>
    <row r="2" spans="1:8" x14ac:dyDescent="0.2">
      <c r="A2" s="263"/>
      <c r="B2" s="263"/>
      <c r="C2" s="263"/>
      <c r="D2" s="263"/>
      <c r="E2" s="263"/>
      <c r="F2" s="263"/>
      <c r="G2" s="263"/>
      <c r="H2" s="263"/>
    </row>
    <row r="3" spans="1:8" x14ac:dyDescent="0.2">
      <c r="A3" s="263"/>
      <c r="B3" s="263"/>
      <c r="C3" s="263"/>
      <c r="D3" s="263"/>
      <c r="E3" s="263"/>
      <c r="F3" s="263"/>
      <c r="G3" s="263"/>
      <c r="H3" s="263"/>
    </row>
    <row r="4" spans="1:8" x14ac:dyDescent="0.2">
      <c r="A4" s="263"/>
      <c r="B4" s="263"/>
      <c r="C4" s="263"/>
      <c r="D4" s="263"/>
      <c r="E4" s="263"/>
      <c r="F4" s="263"/>
      <c r="G4" s="263"/>
      <c r="H4" s="263"/>
    </row>
    <row r="5" spans="1:8" x14ac:dyDescent="0.2">
      <c r="A5" s="263"/>
      <c r="B5" s="263"/>
      <c r="C5" s="263"/>
      <c r="D5" s="263"/>
      <c r="E5" s="263"/>
      <c r="F5" s="263"/>
      <c r="G5" s="263"/>
      <c r="H5" s="263"/>
    </row>
    <row r="6" spans="1:8" x14ac:dyDescent="0.2">
      <c r="A6" s="263"/>
      <c r="B6" s="263"/>
      <c r="C6" s="263"/>
      <c r="D6" s="263"/>
      <c r="E6" s="263"/>
      <c r="F6" s="263"/>
      <c r="G6" s="263"/>
      <c r="H6" s="263"/>
    </row>
    <row r="7" spans="1:8" x14ac:dyDescent="0.2">
      <c r="A7" s="263"/>
      <c r="B7" s="263"/>
      <c r="C7" s="263"/>
      <c r="D7" s="263"/>
      <c r="E7" s="263"/>
      <c r="F7" s="263"/>
      <c r="G7" s="263"/>
      <c r="H7" s="263"/>
    </row>
    <row r="8" spans="1:8" x14ac:dyDescent="0.2">
      <c r="A8" s="264" t="s">
        <v>47</v>
      </c>
      <c r="B8" s="264"/>
      <c r="C8" s="264"/>
      <c r="D8" s="264"/>
      <c r="E8" s="264"/>
      <c r="F8" s="264"/>
      <c r="G8" s="264"/>
      <c r="H8" s="264"/>
    </row>
    <row r="9" spans="1:8" x14ac:dyDescent="0.2">
      <c r="A9" s="264"/>
      <c r="B9" s="264"/>
      <c r="C9" s="264"/>
      <c r="D9" s="264"/>
      <c r="E9" s="264"/>
      <c r="F9" s="264"/>
      <c r="G9" s="264"/>
      <c r="H9" s="264"/>
    </row>
    <row r="10" spans="1:8" x14ac:dyDescent="0.2">
      <c r="A10" s="264"/>
      <c r="B10" s="264"/>
      <c r="C10" s="264"/>
      <c r="D10" s="264"/>
      <c r="E10" s="264"/>
      <c r="F10" s="264"/>
      <c r="G10" s="264"/>
      <c r="H10" s="264"/>
    </row>
    <row r="11" spans="1:8" x14ac:dyDescent="0.2">
      <c r="A11" s="264"/>
      <c r="B11" s="264"/>
      <c r="C11" s="264"/>
      <c r="D11" s="264"/>
      <c r="E11" s="264"/>
      <c r="F11" s="264"/>
      <c r="G11" s="264"/>
      <c r="H11" s="264"/>
    </row>
    <row r="12" spans="1:8" x14ac:dyDescent="0.2">
      <c r="A12" s="264"/>
      <c r="B12" s="264"/>
      <c r="C12" s="264"/>
      <c r="D12" s="264"/>
      <c r="E12" s="264"/>
      <c r="F12" s="264"/>
      <c r="G12" s="264"/>
      <c r="H12" s="264"/>
    </row>
    <row r="13" spans="1:8" x14ac:dyDescent="0.2">
      <c r="A13" s="264"/>
      <c r="B13" s="264"/>
      <c r="C13" s="264"/>
      <c r="D13" s="264"/>
      <c r="E13" s="264"/>
      <c r="F13" s="264"/>
      <c r="G13" s="264"/>
      <c r="H13" s="264"/>
    </row>
    <row r="14" spans="1:8" x14ac:dyDescent="0.2">
      <c r="A14" s="264"/>
      <c r="B14" s="264"/>
      <c r="C14" s="264"/>
      <c r="D14" s="264"/>
      <c r="E14" s="264"/>
      <c r="F14" s="264"/>
      <c r="G14" s="264"/>
      <c r="H14" s="264"/>
    </row>
    <row r="15" spans="1:8" ht="19.5" customHeight="1" x14ac:dyDescent="0.3">
      <c r="A15" s="119"/>
      <c r="B15" s="119"/>
      <c r="C15" s="119"/>
      <c r="D15" s="119"/>
      <c r="E15" s="119"/>
      <c r="F15" s="119"/>
      <c r="G15" s="119"/>
      <c r="H15" s="119"/>
    </row>
    <row r="16" spans="1:8" ht="19.5" customHeight="1" x14ac:dyDescent="0.3">
      <c r="A16" s="271" t="s">
        <v>29</v>
      </c>
      <c r="B16" s="272"/>
      <c r="C16" s="272"/>
      <c r="D16" s="272"/>
      <c r="E16" s="272"/>
      <c r="F16" s="272"/>
      <c r="G16" s="272"/>
      <c r="H16" s="273"/>
    </row>
    <row r="17" spans="1:8" ht="18.75" customHeight="1" x14ac:dyDescent="0.3">
      <c r="A17" s="120" t="s">
        <v>48</v>
      </c>
      <c r="B17" s="120"/>
      <c r="C17" s="119"/>
      <c r="D17" s="119"/>
      <c r="E17" s="119"/>
      <c r="F17" s="119"/>
      <c r="G17" s="119"/>
      <c r="H17" s="119"/>
    </row>
    <row r="18" spans="1:8" ht="26.25" customHeight="1" x14ac:dyDescent="0.4">
      <c r="A18" s="121" t="s">
        <v>31</v>
      </c>
      <c r="B18" s="274" t="str">
        <f>'Uniformity '!C11</f>
        <v>AMPIMED INJECTION</v>
      </c>
      <c r="C18" s="274"/>
      <c r="D18" s="274"/>
      <c r="E18" s="274"/>
      <c r="F18" s="119"/>
      <c r="G18" s="119"/>
      <c r="H18" s="119"/>
    </row>
    <row r="19" spans="1:8" ht="26.25" customHeight="1" x14ac:dyDescent="0.4">
      <c r="A19" s="121" t="s">
        <v>32</v>
      </c>
      <c r="B19" s="253" t="s">
        <v>6</v>
      </c>
      <c r="C19" s="119">
        <v>8</v>
      </c>
      <c r="D19" s="119"/>
      <c r="E19" s="119"/>
      <c r="F19" s="119"/>
      <c r="G19" s="119"/>
      <c r="H19" s="119"/>
    </row>
    <row r="20" spans="1:8" ht="26.25" customHeight="1" x14ac:dyDescent="0.4">
      <c r="A20" s="121" t="s">
        <v>33</v>
      </c>
      <c r="B20" s="122" t="str">
        <f>'Uniformity '!C13</f>
        <v>Ampicillin BP</v>
      </c>
      <c r="C20" s="119"/>
      <c r="D20" s="119"/>
      <c r="E20" s="119"/>
      <c r="F20" s="119"/>
      <c r="G20" s="119"/>
      <c r="H20" s="119"/>
    </row>
    <row r="21" spans="1:8" ht="26.25" customHeight="1" x14ac:dyDescent="0.4">
      <c r="A21" s="121" t="s">
        <v>34</v>
      </c>
      <c r="B21" s="275" t="s">
        <v>109</v>
      </c>
      <c r="C21" s="275"/>
      <c r="D21" s="275"/>
      <c r="E21" s="275"/>
      <c r="F21" s="275"/>
      <c r="G21" s="275"/>
      <c r="H21" s="275"/>
    </row>
    <row r="22" spans="1:8" ht="26.25" customHeight="1" x14ac:dyDescent="0.4">
      <c r="A22" s="121" t="s">
        <v>35</v>
      </c>
      <c r="B22" s="123" t="s">
        <v>113</v>
      </c>
      <c r="C22" s="119"/>
      <c r="D22" s="119"/>
      <c r="E22" s="119"/>
      <c r="F22" s="119"/>
      <c r="G22" s="119"/>
      <c r="H22" s="119"/>
    </row>
    <row r="23" spans="1:8" ht="26.25" customHeight="1" x14ac:dyDescent="0.4">
      <c r="A23" s="121" t="s">
        <v>36</v>
      </c>
      <c r="B23" s="123" t="s">
        <v>114</v>
      </c>
      <c r="C23" s="119"/>
      <c r="D23" s="119"/>
      <c r="E23" s="119"/>
      <c r="F23" s="119"/>
      <c r="G23" s="119"/>
      <c r="H23" s="119"/>
    </row>
    <row r="24" spans="1:8" ht="18.75" customHeight="1" x14ac:dyDescent="0.3">
      <c r="A24" s="121"/>
      <c r="B24" s="124"/>
      <c r="C24" s="119"/>
      <c r="D24" s="119"/>
      <c r="E24" s="119"/>
      <c r="F24" s="119"/>
      <c r="G24" s="119"/>
      <c r="H24" s="119"/>
    </row>
    <row r="25" spans="1:8" ht="18.75" customHeight="1" x14ac:dyDescent="0.3">
      <c r="A25" s="125" t="s">
        <v>1</v>
      </c>
      <c r="B25" s="124"/>
      <c r="C25" s="119"/>
      <c r="D25" s="119"/>
      <c r="E25" s="119"/>
      <c r="F25" s="119"/>
      <c r="G25" s="119"/>
      <c r="H25" s="119"/>
    </row>
    <row r="26" spans="1:8" ht="26.25" customHeight="1" x14ac:dyDescent="0.4">
      <c r="A26" s="126" t="s">
        <v>4</v>
      </c>
      <c r="B26" s="274" t="s">
        <v>112</v>
      </c>
      <c r="C26" s="274"/>
      <c r="D26" s="119"/>
      <c r="E26" s="119"/>
      <c r="F26" s="119"/>
      <c r="G26" s="119"/>
      <c r="H26" s="119"/>
    </row>
    <row r="27" spans="1:8" ht="26.25" customHeight="1" x14ac:dyDescent="0.4">
      <c r="A27" s="127" t="s">
        <v>49</v>
      </c>
      <c r="B27" s="275">
        <v>1213090119</v>
      </c>
      <c r="C27" s="275"/>
      <c r="D27" s="119"/>
      <c r="E27" s="119"/>
      <c r="F27" s="119"/>
      <c r="G27" s="119"/>
      <c r="H27" s="119"/>
    </row>
    <row r="28" spans="1:8" ht="27" customHeight="1" x14ac:dyDescent="0.4">
      <c r="A28" s="127" t="s">
        <v>5</v>
      </c>
      <c r="B28" s="128">
        <v>98.32</v>
      </c>
      <c r="C28" s="119"/>
      <c r="D28" s="119"/>
      <c r="E28" s="119"/>
      <c r="F28" s="119"/>
      <c r="G28" s="119"/>
      <c r="H28" s="119"/>
    </row>
    <row r="29" spans="1:8" ht="27" customHeight="1" x14ac:dyDescent="0.4">
      <c r="A29" s="127" t="s">
        <v>50</v>
      </c>
      <c r="B29" s="129">
        <v>13.22</v>
      </c>
      <c r="C29" s="276" t="s">
        <v>51</v>
      </c>
      <c r="D29" s="277"/>
      <c r="E29" s="277"/>
      <c r="F29" s="277"/>
      <c r="G29" s="277"/>
      <c r="H29" s="278"/>
    </row>
    <row r="30" spans="1:8" ht="19.5" customHeight="1" x14ac:dyDescent="0.3">
      <c r="A30" s="127" t="s">
        <v>52</v>
      </c>
      <c r="B30" s="130">
        <f>B28-B29</f>
        <v>85.1</v>
      </c>
      <c r="C30" s="131"/>
      <c r="D30" s="131"/>
      <c r="E30" s="131"/>
      <c r="F30" s="131"/>
      <c r="G30" s="131"/>
      <c r="H30" s="132"/>
    </row>
    <row r="31" spans="1:8" ht="27" customHeight="1" x14ac:dyDescent="0.4">
      <c r="A31" s="127" t="s">
        <v>53</v>
      </c>
      <c r="B31" s="133">
        <v>349.41</v>
      </c>
      <c r="C31" s="279" t="s">
        <v>54</v>
      </c>
      <c r="D31" s="280"/>
      <c r="E31" s="280"/>
      <c r="F31" s="280"/>
      <c r="G31" s="280"/>
      <c r="H31" s="281"/>
    </row>
    <row r="32" spans="1:8" ht="27" customHeight="1" x14ac:dyDescent="0.4">
      <c r="A32" s="127" t="s">
        <v>55</v>
      </c>
      <c r="B32" s="133">
        <v>403.45</v>
      </c>
      <c r="C32" s="279" t="s">
        <v>56</v>
      </c>
      <c r="D32" s="280"/>
      <c r="E32" s="280"/>
      <c r="F32" s="280"/>
      <c r="G32" s="280"/>
      <c r="H32" s="281"/>
    </row>
    <row r="33" spans="1:8" ht="18.75" customHeight="1" x14ac:dyDescent="0.3">
      <c r="A33" s="127"/>
      <c r="B33" s="134"/>
      <c r="C33" s="135"/>
      <c r="D33" s="135"/>
      <c r="E33" s="135"/>
      <c r="F33" s="135"/>
      <c r="G33" s="135"/>
      <c r="H33" s="135"/>
    </row>
    <row r="34" spans="1:8" ht="18.75" customHeight="1" x14ac:dyDescent="0.3">
      <c r="A34" s="127" t="s">
        <v>57</v>
      </c>
      <c r="B34" s="136">
        <f>B31/B32</f>
        <v>0.86605527326806309</v>
      </c>
      <c r="C34" s="119" t="s">
        <v>58</v>
      </c>
      <c r="D34" s="119"/>
      <c r="E34" s="119"/>
      <c r="F34" s="119"/>
      <c r="G34" s="119"/>
      <c r="H34" s="137"/>
    </row>
    <row r="35" spans="1:8" ht="19.5" customHeight="1" x14ac:dyDescent="0.3">
      <c r="A35" s="127"/>
      <c r="B35" s="130"/>
      <c r="C35" s="137"/>
      <c r="D35" s="137"/>
      <c r="E35" s="137"/>
      <c r="F35" s="137"/>
      <c r="G35" s="119"/>
      <c r="H35" s="137"/>
    </row>
    <row r="36" spans="1:8" ht="27" customHeight="1" x14ac:dyDescent="0.4">
      <c r="A36" s="138" t="s">
        <v>103</v>
      </c>
      <c r="B36" s="139">
        <v>100</v>
      </c>
      <c r="C36" s="119"/>
      <c r="D36" s="282" t="s">
        <v>59</v>
      </c>
      <c r="E36" s="283"/>
      <c r="F36" s="282" t="s">
        <v>60</v>
      </c>
      <c r="G36" s="284"/>
      <c r="H36" s="137"/>
    </row>
    <row r="37" spans="1:8" ht="26.25" customHeight="1" x14ac:dyDescent="0.4">
      <c r="A37" s="140" t="s">
        <v>61</v>
      </c>
      <c r="B37" s="141">
        <v>1</v>
      </c>
      <c r="C37" s="142" t="s">
        <v>62</v>
      </c>
      <c r="D37" s="143" t="s">
        <v>63</v>
      </c>
      <c r="E37" s="144" t="s">
        <v>64</v>
      </c>
      <c r="F37" s="143" t="s">
        <v>63</v>
      </c>
      <c r="G37" s="145" t="s">
        <v>64</v>
      </c>
      <c r="H37" s="137"/>
    </row>
    <row r="38" spans="1:8" ht="26.25" customHeight="1" x14ac:dyDescent="0.4">
      <c r="A38" s="140" t="s">
        <v>65</v>
      </c>
      <c r="B38" s="141">
        <v>1</v>
      </c>
      <c r="C38" s="146">
        <v>1</v>
      </c>
      <c r="D38" s="147">
        <v>40670188</v>
      </c>
      <c r="E38" s="148">
        <f>IF(ISBLANK(D38),"-",$D$48/$D$45*D38)</f>
        <v>54582051.377769507</v>
      </c>
      <c r="F38" s="147">
        <v>47355640</v>
      </c>
      <c r="G38" s="149">
        <f>IF(ISBLANK(F38),"-",$D$48/$F$45*F38)</f>
        <v>54777035.876407668</v>
      </c>
      <c r="H38" s="137"/>
    </row>
    <row r="39" spans="1:8" ht="26.25" customHeight="1" x14ac:dyDescent="0.4">
      <c r="A39" s="140" t="s">
        <v>66</v>
      </c>
      <c r="B39" s="141">
        <v>1</v>
      </c>
      <c r="C39" s="150">
        <v>2</v>
      </c>
      <c r="D39" s="151">
        <v>40755758</v>
      </c>
      <c r="E39" s="152">
        <f>IF(ISBLANK(D39),"-",$D$48/$D$45*D39)</f>
        <v>54696891.912472606</v>
      </c>
      <c r="F39" s="151">
        <v>47061705</v>
      </c>
      <c r="G39" s="153">
        <f>IF(ISBLANK(F39),"-",$D$48/$F$45*F39)</f>
        <v>54437036.500613533</v>
      </c>
      <c r="H39" s="137"/>
    </row>
    <row r="40" spans="1:8" ht="26.25" customHeight="1" x14ac:dyDescent="0.4">
      <c r="A40" s="140" t="s">
        <v>67</v>
      </c>
      <c r="B40" s="141">
        <v>1</v>
      </c>
      <c r="C40" s="150">
        <v>3</v>
      </c>
      <c r="D40" s="151">
        <v>40970596</v>
      </c>
      <c r="E40" s="152">
        <f>IF(ISBLANK(D40),"-",$D$48/$D$45*D40)</f>
        <v>54985218.554923765</v>
      </c>
      <c r="F40" s="151">
        <v>47375855</v>
      </c>
      <c r="G40" s="153">
        <f>IF(ISBLANK(F40),"-",$D$48/$F$45*F40)</f>
        <v>54800418.894359522</v>
      </c>
      <c r="H40" s="119"/>
    </row>
    <row r="41" spans="1:8" ht="26.25" customHeight="1" x14ac:dyDescent="0.4">
      <c r="A41" s="140" t="s">
        <v>68</v>
      </c>
      <c r="B41" s="141">
        <v>1</v>
      </c>
      <c r="C41" s="154">
        <v>4</v>
      </c>
      <c r="D41" s="155"/>
      <c r="E41" s="156" t="str">
        <f>IF(ISBLANK(D41),"-",$D$48/$D$45*D41)</f>
        <v>-</v>
      </c>
      <c r="F41" s="155"/>
      <c r="G41" s="157" t="str">
        <f>IF(ISBLANK(F41),"-",$D$48/$F$45*F41)</f>
        <v>-</v>
      </c>
      <c r="H41" s="119"/>
    </row>
    <row r="42" spans="1:8" ht="27" customHeight="1" x14ac:dyDescent="0.4">
      <c r="A42" s="140" t="s">
        <v>69</v>
      </c>
      <c r="B42" s="141">
        <v>1</v>
      </c>
      <c r="C42" s="158" t="s">
        <v>70</v>
      </c>
      <c r="D42" s="159">
        <f>AVERAGE(D38:D41)</f>
        <v>40798847.333333336</v>
      </c>
      <c r="E42" s="160">
        <f>AVERAGE(E38:E41)</f>
        <v>54754720.615055293</v>
      </c>
      <c r="F42" s="159">
        <f>AVERAGE(F38:F41)</f>
        <v>47264400</v>
      </c>
      <c r="G42" s="161">
        <f>AVERAGE(G38:G41)</f>
        <v>54671497.090460241</v>
      </c>
      <c r="H42" s="162"/>
    </row>
    <row r="43" spans="1:8" ht="26.25" customHeight="1" x14ac:dyDescent="0.4">
      <c r="A43" s="140" t="s">
        <v>71</v>
      </c>
      <c r="B43" s="141">
        <v>1</v>
      </c>
      <c r="C43" s="163" t="s">
        <v>72</v>
      </c>
      <c r="D43" s="164">
        <v>20.22</v>
      </c>
      <c r="E43" s="165"/>
      <c r="F43" s="164">
        <v>23.46</v>
      </c>
      <c r="G43" s="119"/>
      <c r="H43" s="162"/>
    </row>
    <row r="44" spans="1:8" ht="26.25" customHeight="1" x14ac:dyDescent="0.4">
      <c r="A44" s="140" t="s">
        <v>73</v>
      </c>
      <c r="B44" s="141">
        <v>1</v>
      </c>
      <c r="C44" s="166" t="s">
        <v>74</v>
      </c>
      <c r="D44" s="167">
        <f>D43*$B$34</f>
        <v>17.511637625480233</v>
      </c>
      <c r="E44" s="168"/>
      <c r="F44" s="167">
        <f>F43*$B$34</f>
        <v>20.317656710868761</v>
      </c>
      <c r="G44" s="119"/>
      <c r="H44" s="162"/>
    </row>
    <row r="45" spans="1:8" ht="19.5" customHeight="1" x14ac:dyDescent="0.3">
      <c r="A45" s="140" t="s">
        <v>75</v>
      </c>
      <c r="B45" s="169">
        <f>(B44/B43)*(B42/B41)*(B40/B39)*(B38/B37)*B36</f>
        <v>100</v>
      </c>
      <c r="C45" s="166" t="s">
        <v>76</v>
      </c>
      <c r="D45" s="170">
        <f>D44*$B$30/100</f>
        <v>14.902403619283678</v>
      </c>
      <c r="E45" s="171"/>
      <c r="F45" s="170">
        <f>F44*$B$30/100</f>
        <v>17.290325860949316</v>
      </c>
      <c r="G45" s="119"/>
      <c r="H45" s="162"/>
    </row>
    <row r="46" spans="1:8" ht="19.5" customHeight="1" x14ac:dyDescent="0.3">
      <c r="A46" s="285" t="s">
        <v>77</v>
      </c>
      <c r="B46" s="286"/>
      <c r="C46" s="166" t="s">
        <v>78</v>
      </c>
      <c r="D46" s="167">
        <f>D45/$B$45</f>
        <v>0.14902403619283677</v>
      </c>
      <c r="E46" s="171"/>
      <c r="F46" s="172">
        <f>F45/$B$45</f>
        <v>0.17290325860949315</v>
      </c>
      <c r="G46" s="119"/>
      <c r="H46" s="162"/>
    </row>
    <row r="47" spans="1:8" ht="27" customHeight="1" x14ac:dyDescent="0.4">
      <c r="A47" s="287"/>
      <c r="B47" s="288"/>
      <c r="C47" s="173" t="s">
        <v>79</v>
      </c>
      <c r="D47" s="174">
        <v>0.2</v>
      </c>
      <c r="E47" s="119"/>
      <c r="F47" s="175"/>
      <c r="G47" s="119"/>
      <c r="H47" s="162"/>
    </row>
    <row r="48" spans="1:8" ht="18.75" customHeight="1" x14ac:dyDescent="0.3">
      <c r="A48" s="119"/>
      <c r="B48" s="119"/>
      <c r="C48" s="176" t="s">
        <v>80</v>
      </c>
      <c r="D48" s="167">
        <f>D47*$B$45</f>
        <v>20</v>
      </c>
      <c r="E48" s="119"/>
      <c r="F48" s="175"/>
      <c r="G48" s="119"/>
      <c r="H48" s="162"/>
    </row>
    <row r="49" spans="1:8" ht="19.5" customHeight="1" x14ac:dyDescent="0.3">
      <c r="A49" s="119"/>
      <c r="B49" s="119"/>
      <c r="C49" s="177" t="s">
        <v>81</v>
      </c>
      <c r="D49" s="178">
        <f>D48/B34</f>
        <v>23.093214275492972</v>
      </c>
      <c r="E49" s="119"/>
      <c r="F49" s="175"/>
      <c r="G49" s="119"/>
      <c r="H49" s="162"/>
    </row>
    <row r="50" spans="1:8" ht="18.75" customHeight="1" x14ac:dyDescent="0.3">
      <c r="A50" s="119"/>
      <c r="B50" s="119"/>
      <c r="C50" s="138" t="s">
        <v>82</v>
      </c>
      <c r="D50" s="179">
        <f>AVERAGE(E38:E41,G38:G41)</f>
        <v>54713108.852757759</v>
      </c>
      <c r="E50" s="119"/>
      <c r="F50" s="180"/>
      <c r="G50" s="119"/>
      <c r="H50" s="162"/>
    </row>
    <row r="51" spans="1:8" ht="18.75" customHeight="1" x14ac:dyDescent="0.3">
      <c r="A51" s="119"/>
      <c r="B51" s="119"/>
      <c r="C51" s="173" t="s">
        <v>83</v>
      </c>
      <c r="D51" s="181">
        <f>STDEV(E38:E41,G38:G41)/D50</f>
        <v>3.462142844666065E-3</v>
      </c>
      <c r="E51" s="119"/>
      <c r="F51" s="180"/>
      <c r="G51" s="119"/>
      <c r="H51" s="162"/>
    </row>
    <row r="52" spans="1:8" ht="19.5" customHeight="1" x14ac:dyDescent="0.3">
      <c r="A52" s="119"/>
      <c r="B52" s="119"/>
      <c r="C52" s="182" t="s">
        <v>18</v>
      </c>
      <c r="D52" s="183">
        <f>COUNT(E38:E41,G38:G41)</f>
        <v>6</v>
      </c>
      <c r="E52" s="119"/>
      <c r="F52" s="180"/>
      <c r="G52" s="119"/>
      <c r="H52" s="119"/>
    </row>
    <row r="53" spans="1:8" ht="18.75" customHeight="1" x14ac:dyDescent="0.3">
      <c r="A53" s="119"/>
      <c r="B53" s="119"/>
      <c r="C53" s="119"/>
      <c r="D53" s="119"/>
      <c r="E53" s="119"/>
      <c r="F53" s="119"/>
      <c r="G53" s="119"/>
      <c r="H53" s="119"/>
    </row>
    <row r="54" spans="1:8" ht="18.75" customHeight="1" x14ac:dyDescent="0.3">
      <c r="A54" s="120" t="s">
        <v>1</v>
      </c>
      <c r="B54" s="184" t="s">
        <v>104</v>
      </c>
      <c r="C54" s="119"/>
      <c r="D54" s="119"/>
      <c r="E54" s="119"/>
      <c r="F54" s="119"/>
      <c r="G54" s="119"/>
      <c r="H54" s="119"/>
    </row>
    <row r="55" spans="1:8" ht="18.75" customHeight="1" x14ac:dyDescent="0.3">
      <c r="A55" s="119" t="s">
        <v>84</v>
      </c>
      <c r="B55" s="185" t="str">
        <f>B21</f>
        <v>Each vial contains 500mg of ampicillin BP</v>
      </c>
      <c r="C55" s="119"/>
      <c r="D55" s="119"/>
      <c r="E55" s="119"/>
      <c r="F55" s="119"/>
      <c r="G55" s="119"/>
      <c r="H55" s="119"/>
    </row>
    <row r="56" spans="1:8" ht="26.25" customHeight="1" x14ac:dyDescent="0.4">
      <c r="A56" s="186" t="s">
        <v>105</v>
      </c>
      <c r="B56" s="187">
        <v>500</v>
      </c>
      <c r="C56" s="119" t="str">
        <f>B20</f>
        <v>Ampicillin BP</v>
      </c>
      <c r="D56" s="119"/>
      <c r="E56" s="119"/>
      <c r="F56" s="119"/>
      <c r="G56" s="119"/>
      <c r="H56" s="188"/>
    </row>
    <row r="57" spans="1:8" ht="18.75" customHeight="1" x14ac:dyDescent="0.3">
      <c r="A57" s="185" t="s">
        <v>106</v>
      </c>
      <c r="B57" s="236">
        <f>'Uniformity '!D43</f>
        <v>568.28449999999998</v>
      </c>
      <c r="C57" s="119"/>
      <c r="D57" s="119"/>
      <c r="E57" s="119"/>
      <c r="F57" s="119"/>
      <c r="G57" s="119"/>
      <c r="H57" s="188"/>
    </row>
    <row r="58" spans="1:8" ht="19.5" customHeight="1" x14ac:dyDescent="0.3">
      <c r="A58" s="119"/>
      <c r="B58" s="119"/>
      <c r="C58" s="119"/>
      <c r="D58" s="119"/>
      <c r="E58" s="119"/>
      <c r="F58" s="119"/>
      <c r="G58" s="119"/>
      <c r="H58" s="188"/>
    </row>
    <row r="59" spans="1:8" ht="27" customHeight="1" x14ac:dyDescent="0.4">
      <c r="A59" s="138" t="s">
        <v>85</v>
      </c>
      <c r="B59" s="139">
        <v>100</v>
      </c>
      <c r="C59" s="119"/>
      <c r="D59" s="189" t="s">
        <v>107</v>
      </c>
      <c r="E59" s="190" t="s">
        <v>62</v>
      </c>
      <c r="F59" s="190" t="s">
        <v>63</v>
      </c>
      <c r="G59" s="190" t="s">
        <v>86</v>
      </c>
      <c r="H59" s="142" t="s">
        <v>87</v>
      </c>
    </row>
    <row r="60" spans="1:8" ht="26.25" customHeight="1" x14ac:dyDescent="0.4">
      <c r="A60" s="140" t="s">
        <v>88</v>
      </c>
      <c r="B60" s="141">
        <v>3</v>
      </c>
      <c r="C60" s="265" t="s">
        <v>89</v>
      </c>
      <c r="D60" s="268">
        <v>107.98</v>
      </c>
      <c r="E60" s="191">
        <v>1</v>
      </c>
      <c r="F60" s="192">
        <v>36550496</v>
      </c>
      <c r="G60" s="193">
        <f>IF(ISBLANK(F60),"-",(F60/$D$50*$D$47*$B$68)*($B$57/$D$60))</f>
        <v>468.77355802116023</v>
      </c>
      <c r="H60" s="194">
        <f t="shared" ref="H60:H71" si="0">IF(ISBLANK(F60),"-",G60/$B$56)</f>
        <v>0.93754711604232044</v>
      </c>
    </row>
    <row r="61" spans="1:8" ht="26.25" customHeight="1" x14ac:dyDescent="0.4">
      <c r="A61" s="140" t="s">
        <v>90</v>
      </c>
      <c r="B61" s="141">
        <v>20</v>
      </c>
      <c r="C61" s="266"/>
      <c r="D61" s="269"/>
      <c r="E61" s="195">
        <v>2</v>
      </c>
      <c r="F61" s="151">
        <v>36600626</v>
      </c>
      <c r="G61" s="196">
        <f>IF(ISBLANK(F61),"-",(F61/$D$50*$D$47*$B$68)*($B$57/$D$60))</f>
        <v>469.41649371384148</v>
      </c>
      <c r="H61" s="197">
        <f t="shared" si="0"/>
        <v>0.93883298742768295</v>
      </c>
    </row>
    <row r="62" spans="1:8" ht="26.25" customHeight="1" x14ac:dyDescent="0.4">
      <c r="A62" s="140" t="s">
        <v>91</v>
      </c>
      <c r="B62" s="141">
        <v>1</v>
      </c>
      <c r="C62" s="266"/>
      <c r="D62" s="269"/>
      <c r="E62" s="195">
        <v>3</v>
      </c>
      <c r="F62" s="151">
        <v>36589274</v>
      </c>
      <c r="G62" s="196">
        <f>IF(ISBLANK(F62),"-",(F62/$D$50*$D$47*$B$68)*($B$57/$D$60))</f>
        <v>469.27090013747357</v>
      </c>
      <c r="H62" s="197">
        <f t="shared" si="0"/>
        <v>0.93854180027494716</v>
      </c>
    </row>
    <row r="63" spans="1:8" ht="27" customHeight="1" x14ac:dyDescent="0.4">
      <c r="A63" s="140" t="s">
        <v>92</v>
      </c>
      <c r="B63" s="141">
        <v>1</v>
      </c>
      <c r="C63" s="267"/>
      <c r="D63" s="270"/>
      <c r="E63" s="198">
        <v>4</v>
      </c>
      <c r="F63" s="199"/>
      <c r="G63" s="196" t="str">
        <f>IF(ISBLANK(F63),"-",(F63/$D$50*$D$47*$B$68)*($B$57/$D$60))</f>
        <v>-</v>
      </c>
      <c r="H63" s="197" t="str">
        <f t="shared" si="0"/>
        <v>-</v>
      </c>
    </row>
    <row r="64" spans="1:8" ht="26.25" customHeight="1" x14ac:dyDescent="0.4">
      <c r="A64" s="140" t="s">
        <v>93</v>
      </c>
      <c r="B64" s="141">
        <v>1</v>
      </c>
      <c r="C64" s="265" t="s">
        <v>94</v>
      </c>
      <c r="D64" s="268">
        <v>109.82</v>
      </c>
      <c r="E64" s="191">
        <v>1</v>
      </c>
      <c r="F64" s="192">
        <v>37237671</v>
      </c>
      <c r="G64" s="200">
        <f>IF(ISBLANK(F64),"-",(F64/$D$50*$D$47*$B$68)*($B$57/$D$64))</f>
        <v>469.58501116032613</v>
      </c>
      <c r="H64" s="201">
        <f t="shared" si="0"/>
        <v>0.93917002232065228</v>
      </c>
    </row>
    <row r="65" spans="1:8" ht="26.25" customHeight="1" x14ac:dyDescent="0.4">
      <c r="A65" s="140" t="s">
        <v>95</v>
      </c>
      <c r="B65" s="141">
        <v>1</v>
      </c>
      <c r="C65" s="266"/>
      <c r="D65" s="269"/>
      <c r="E65" s="195">
        <v>2</v>
      </c>
      <c r="F65" s="151">
        <v>37300494</v>
      </c>
      <c r="G65" s="202">
        <f>IF(ISBLANK(F65),"-",(F65/$D$50*$D$47*$B$68)*($B$57/$D$64))</f>
        <v>470.37723952380577</v>
      </c>
      <c r="H65" s="203">
        <f t="shared" si="0"/>
        <v>0.94075447904761156</v>
      </c>
    </row>
    <row r="66" spans="1:8" ht="26.25" customHeight="1" x14ac:dyDescent="0.4">
      <c r="A66" s="140" t="s">
        <v>96</v>
      </c>
      <c r="B66" s="141">
        <v>1</v>
      </c>
      <c r="C66" s="266"/>
      <c r="D66" s="269"/>
      <c r="E66" s="195">
        <v>3</v>
      </c>
      <c r="F66" s="151">
        <v>37284609</v>
      </c>
      <c r="G66" s="202">
        <f>IF(ISBLANK(F66),"-",(F66/$D$50*$D$47*$B$68)*($B$57/$D$64))</f>
        <v>470.17692200388677</v>
      </c>
      <c r="H66" s="203">
        <f t="shared" si="0"/>
        <v>0.94035384400777355</v>
      </c>
    </row>
    <row r="67" spans="1:8" ht="27" customHeight="1" x14ac:dyDescent="0.4">
      <c r="A67" s="140" t="s">
        <v>97</v>
      </c>
      <c r="B67" s="141">
        <v>1</v>
      </c>
      <c r="C67" s="267"/>
      <c r="D67" s="270"/>
      <c r="E67" s="198">
        <v>4</v>
      </c>
      <c r="F67" s="199"/>
      <c r="G67" s="204" t="str">
        <f>IF(ISBLANK(F67),"-",(F67/$D$50*$D$47*$B$68)*($B$57/$D$64))</f>
        <v>-</v>
      </c>
      <c r="H67" s="205" t="str">
        <f t="shared" si="0"/>
        <v>-</v>
      </c>
    </row>
    <row r="68" spans="1:8" ht="26.25" customHeight="1" x14ac:dyDescent="0.4">
      <c r="A68" s="140" t="s">
        <v>98</v>
      </c>
      <c r="B68" s="206">
        <f>(B67/B66)*(B65/B64)*(B63/B62)*(B61/B60)*B59</f>
        <v>666.66666666666674</v>
      </c>
      <c r="C68" s="265" t="s">
        <v>99</v>
      </c>
      <c r="D68" s="268">
        <v>97.97</v>
      </c>
      <c r="E68" s="191">
        <v>1</v>
      </c>
      <c r="F68" s="192">
        <v>33391918</v>
      </c>
      <c r="G68" s="200">
        <f>IF(ISBLANK(F68),"-",(F68/$D$50*$D$47*$B$68)*($B$57/$D$68))</f>
        <v>472.02109938147794</v>
      </c>
      <c r="H68" s="197">
        <f t="shared" si="0"/>
        <v>0.94404219876295592</v>
      </c>
    </row>
    <row r="69" spans="1:8" ht="27" customHeight="1" x14ac:dyDescent="0.4">
      <c r="A69" s="182" t="s">
        <v>108</v>
      </c>
      <c r="B69" s="207">
        <f>(D47*B68)/B56*B57</f>
        <v>151.54253333333332</v>
      </c>
      <c r="C69" s="266"/>
      <c r="D69" s="269"/>
      <c r="E69" s="195">
        <v>2</v>
      </c>
      <c r="F69" s="151">
        <v>33456055</v>
      </c>
      <c r="G69" s="202">
        <f>IF(ISBLANK(F69),"-",(F69/$D$50*$D$47*$B$68)*($B$57/$D$68))</f>
        <v>472.92772646564339</v>
      </c>
      <c r="H69" s="197">
        <f t="shared" si="0"/>
        <v>0.94585545293128681</v>
      </c>
    </row>
    <row r="70" spans="1:8" ht="26.25" customHeight="1" x14ac:dyDescent="0.4">
      <c r="A70" s="285" t="s">
        <v>77</v>
      </c>
      <c r="B70" s="286"/>
      <c r="C70" s="266"/>
      <c r="D70" s="269"/>
      <c r="E70" s="195">
        <v>3</v>
      </c>
      <c r="F70" s="151">
        <v>33400150</v>
      </c>
      <c r="G70" s="202">
        <f>IF(ISBLANK(F70),"-",(F70/$D$50*$D$47*$B$68)*($B$57/$D$68))</f>
        <v>472.13746519461</v>
      </c>
      <c r="H70" s="197">
        <f t="shared" si="0"/>
        <v>0.94427493038922006</v>
      </c>
    </row>
    <row r="71" spans="1:8" ht="27" customHeight="1" x14ac:dyDescent="0.4">
      <c r="A71" s="287"/>
      <c r="B71" s="288"/>
      <c r="C71" s="290"/>
      <c r="D71" s="270"/>
      <c r="E71" s="198">
        <v>4</v>
      </c>
      <c r="F71" s="199"/>
      <c r="G71" s="204" t="str">
        <f>IF(ISBLANK(F71),"-",(F71/$D$50*$D$47*$B$68)*($B$57/$D$68))</f>
        <v>-</v>
      </c>
      <c r="H71" s="208" t="str">
        <f t="shared" si="0"/>
        <v>-</v>
      </c>
    </row>
    <row r="72" spans="1:8" ht="26.25" customHeight="1" x14ac:dyDescent="0.4">
      <c r="A72" s="209"/>
      <c r="B72" s="209"/>
      <c r="C72" s="209"/>
      <c r="D72" s="209"/>
      <c r="E72" s="209"/>
      <c r="F72" s="210"/>
      <c r="G72" s="211" t="s">
        <v>70</v>
      </c>
      <c r="H72" s="212">
        <f>AVERAGE(H60:H71)</f>
        <v>0.94104142568938343</v>
      </c>
    </row>
    <row r="73" spans="1:8" ht="26.25" customHeight="1" x14ac:dyDescent="0.4">
      <c r="A73" s="119"/>
      <c r="B73" s="119"/>
      <c r="C73" s="209"/>
      <c r="D73" s="209"/>
      <c r="E73" s="209"/>
      <c r="F73" s="210"/>
      <c r="G73" s="213" t="s">
        <v>83</v>
      </c>
      <c r="H73" s="214">
        <f>STDEV(H60:H71)/H72</f>
        <v>3.1439932996386792E-3</v>
      </c>
    </row>
    <row r="74" spans="1:8" ht="27" customHeight="1" x14ac:dyDescent="0.4">
      <c r="A74" s="209"/>
      <c r="B74" s="209"/>
      <c r="C74" s="210"/>
      <c r="D74" s="210"/>
      <c r="E74" s="215"/>
      <c r="F74" s="210"/>
      <c r="G74" s="216" t="s">
        <v>18</v>
      </c>
      <c r="H74" s="217">
        <f>COUNT(H60:H71)</f>
        <v>9</v>
      </c>
    </row>
    <row r="75" spans="1:8" ht="18.75" customHeight="1" x14ac:dyDescent="0.3">
      <c r="A75" s="218"/>
      <c r="B75" s="218"/>
      <c r="C75" s="168"/>
      <c r="D75" s="168"/>
      <c r="E75" s="171"/>
      <c r="F75" s="168"/>
      <c r="G75" s="219"/>
      <c r="H75" s="220"/>
    </row>
    <row r="76" spans="1:8" ht="26.25" customHeight="1" x14ac:dyDescent="0.4">
      <c r="A76" s="126" t="s">
        <v>100</v>
      </c>
      <c r="B76" s="221" t="s">
        <v>101</v>
      </c>
      <c r="C76" s="291" t="str">
        <f>B20</f>
        <v>Ampicillin BP</v>
      </c>
      <c r="D76" s="291"/>
      <c r="E76" s="222" t="s">
        <v>102</v>
      </c>
      <c r="F76" s="222"/>
      <c r="G76" s="223">
        <f>H72</f>
        <v>0.94104142568938343</v>
      </c>
      <c r="H76" s="220"/>
    </row>
    <row r="77" spans="1:8" ht="19.5" customHeight="1" x14ac:dyDescent="0.3">
      <c r="A77" s="224"/>
      <c r="B77" s="224"/>
      <c r="C77" s="225"/>
      <c r="D77" s="225"/>
      <c r="E77" s="225"/>
      <c r="F77" s="225"/>
      <c r="G77" s="225"/>
      <c r="H77" s="225"/>
    </row>
    <row r="78" spans="1:8" ht="18.75" customHeight="1" x14ac:dyDescent="0.3">
      <c r="A78" s="119"/>
      <c r="B78" s="289" t="s">
        <v>24</v>
      </c>
      <c r="C78" s="289"/>
      <c r="D78" s="119"/>
      <c r="E78" s="226" t="s">
        <v>25</v>
      </c>
      <c r="F78" s="227"/>
      <c r="G78" s="289" t="s">
        <v>26</v>
      </c>
      <c r="H78" s="289"/>
    </row>
    <row r="79" spans="1:8" ht="60" customHeight="1" x14ac:dyDescent="0.3">
      <c r="A79" s="228" t="s">
        <v>27</v>
      </c>
      <c r="B79" s="229" t="s">
        <v>111</v>
      </c>
      <c r="C79" s="229"/>
      <c r="D79" s="119"/>
      <c r="E79" s="230"/>
      <c r="F79" s="231"/>
      <c r="G79" s="232"/>
      <c r="H79" s="232"/>
    </row>
    <row r="80" spans="1:8" ht="60" customHeight="1" x14ac:dyDescent="0.3">
      <c r="A80" s="228" t="s">
        <v>28</v>
      </c>
      <c r="B80" s="233"/>
      <c r="C80" s="233"/>
      <c r="D80" s="119"/>
      <c r="E80" s="234"/>
      <c r="F80" s="231"/>
      <c r="G80" s="235"/>
      <c r="H80" s="235"/>
    </row>
    <row r="250" spans="1:1" x14ac:dyDescent="0.2">
      <c r="A250">
        <v>5</v>
      </c>
    </row>
  </sheetData>
  <sheetProtection password="F258" sheet="1" formatColumns="0" formatRows="0" insertColumns="0" insertHyperlinks="0" deleteColumns="0" deleteRows="0" autoFilter="0" pivotTable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3" priority="1" operator="greaterThan">
      <formula>0.02</formula>
    </cfRule>
  </conditionalFormatting>
  <conditionalFormatting sqref="H73">
    <cfRule type="cellIs" dxfId="2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topLeftCell="A52" zoomScale="60" zoomScaleNormal="78" workbookViewId="0">
      <selection activeCell="B19" sqref="B19"/>
    </sheetView>
  </sheetViews>
  <sheetFormatPr defaultRowHeight="12.75" x14ac:dyDescent="0.2"/>
  <cols>
    <col min="1" max="1" width="55.7109375" style="44" customWidth="1"/>
    <col min="2" max="2" width="35.140625" style="44" customWidth="1"/>
    <col min="3" max="3" width="41.7109375" style="44" customWidth="1"/>
    <col min="4" max="4" width="22.85546875" style="44" customWidth="1"/>
    <col min="5" max="5" width="24.5703125" style="44" customWidth="1"/>
    <col min="6" max="6" width="25.140625" style="44" customWidth="1"/>
    <col min="7" max="7" width="34.28515625" style="44" customWidth="1"/>
    <col min="8" max="8" width="16.28515625" style="44" customWidth="1"/>
    <col min="9" max="16384" width="9.140625" style="44"/>
  </cols>
  <sheetData>
    <row r="1" spans="1:8" x14ac:dyDescent="0.2">
      <c r="A1" s="263" t="s">
        <v>46</v>
      </c>
      <c r="B1" s="263"/>
      <c r="C1" s="263"/>
      <c r="D1" s="263"/>
      <c r="E1" s="263"/>
      <c r="F1" s="263"/>
      <c r="G1" s="263"/>
      <c r="H1" s="263"/>
    </row>
    <row r="2" spans="1:8" x14ac:dyDescent="0.2">
      <c r="A2" s="263"/>
      <c r="B2" s="263"/>
      <c r="C2" s="263"/>
      <c r="D2" s="263"/>
      <c r="E2" s="263"/>
      <c r="F2" s="263"/>
      <c r="G2" s="263"/>
      <c r="H2" s="263"/>
    </row>
    <row r="3" spans="1:8" x14ac:dyDescent="0.2">
      <c r="A3" s="263"/>
      <c r="B3" s="263"/>
      <c r="C3" s="263"/>
      <c r="D3" s="263"/>
      <c r="E3" s="263"/>
      <c r="F3" s="263"/>
      <c r="G3" s="263"/>
      <c r="H3" s="263"/>
    </row>
    <row r="4" spans="1:8" x14ac:dyDescent="0.2">
      <c r="A4" s="263"/>
      <c r="B4" s="263"/>
      <c r="C4" s="263"/>
      <c r="D4" s="263"/>
      <c r="E4" s="263"/>
      <c r="F4" s="263"/>
      <c r="G4" s="263"/>
      <c r="H4" s="263"/>
    </row>
    <row r="5" spans="1:8" x14ac:dyDescent="0.2">
      <c r="A5" s="263"/>
      <c r="B5" s="263"/>
      <c r="C5" s="263"/>
      <c r="D5" s="263"/>
      <c r="E5" s="263"/>
      <c r="F5" s="263"/>
      <c r="G5" s="263"/>
      <c r="H5" s="263"/>
    </row>
    <row r="6" spans="1:8" x14ac:dyDescent="0.2">
      <c r="A6" s="263"/>
      <c r="B6" s="263"/>
      <c r="C6" s="263"/>
      <c r="D6" s="263"/>
      <c r="E6" s="263"/>
      <c r="F6" s="263"/>
      <c r="G6" s="263"/>
      <c r="H6" s="263"/>
    </row>
    <row r="7" spans="1:8" x14ac:dyDescent="0.2">
      <c r="A7" s="263"/>
      <c r="B7" s="263"/>
      <c r="C7" s="263"/>
      <c r="D7" s="263"/>
      <c r="E7" s="263"/>
      <c r="F7" s="263"/>
      <c r="G7" s="263"/>
      <c r="H7" s="263"/>
    </row>
    <row r="8" spans="1:8" x14ac:dyDescent="0.2">
      <c r="A8" s="264" t="s">
        <v>47</v>
      </c>
      <c r="B8" s="264"/>
      <c r="C8" s="264"/>
      <c r="D8" s="264"/>
      <c r="E8" s="264"/>
      <c r="F8" s="264"/>
      <c r="G8" s="264"/>
      <c r="H8" s="264"/>
    </row>
    <row r="9" spans="1:8" x14ac:dyDescent="0.2">
      <c r="A9" s="264"/>
      <c r="B9" s="264"/>
      <c r="C9" s="264"/>
      <c r="D9" s="264"/>
      <c r="E9" s="264"/>
      <c r="F9" s="264"/>
      <c r="G9" s="264"/>
      <c r="H9" s="264"/>
    </row>
    <row r="10" spans="1:8" x14ac:dyDescent="0.2">
      <c r="A10" s="264"/>
      <c r="B10" s="264"/>
      <c r="C10" s="264"/>
      <c r="D10" s="264"/>
      <c r="E10" s="264"/>
      <c r="F10" s="264"/>
      <c r="G10" s="264"/>
      <c r="H10" s="264"/>
    </row>
    <row r="11" spans="1:8" x14ac:dyDescent="0.2">
      <c r="A11" s="264"/>
      <c r="B11" s="264"/>
      <c r="C11" s="264"/>
      <c r="D11" s="264"/>
      <c r="E11" s="264"/>
      <c r="F11" s="264"/>
      <c r="G11" s="264"/>
      <c r="H11" s="264"/>
    </row>
    <row r="12" spans="1:8" x14ac:dyDescent="0.2">
      <c r="A12" s="264"/>
      <c r="B12" s="264"/>
      <c r="C12" s="264"/>
      <c r="D12" s="264"/>
      <c r="E12" s="264"/>
      <c r="F12" s="264"/>
      <c r="G12" s="264"/>
      <c r="H12" s="264"/>
    </row>
    <row r="13" spans="1:8" x14ac:dyDescent="0.2">
      <c r="A13" s="264"/>
      <c r="B13" s="264"/>
      <c r="C13" s="264"/>
      <c r="D13" s="264"/>
      <c r="E13" s="264"/>
      <c r="F13" s="264"/>
      <c r="G13" s="264"/>
      <c r="H13" s="264"/>
    </row>
    <row r="14" spans="1:8" x14ac:dyDescent="0.2">
      <c r="A14" s="264"/>
      <c r="B14" s="264"/>
      <c r="C14" s="264"/>
      <c r="D14" s="264"/>
      <c r="E14" s="264"/>
      <c r="F14" s="264"/>
      <c r="G14" s="264"/>
      <c r="H14" s="264"/>
    </row>
    <row r="15" spans="1:8" ht="19.5" customHeight="1" thickBot="1" x14ac:dyDescent="0.35">
      <c r="A15" s="231"/>
      <c r="B15" s="231"/>
      <c r="C15" s="231"/>
      <c r="D15" s="231"/>
      <c r="E15" s="231"/>
      <c r="F15" s="231"/>
      <c r="G15" s="231"/>
      <c r="H15" s="231"/>
    </row>
    <row r="16" spans="1:8" ht="19.5" customHeight="1" thickBot="1" x14ac:dyDescent="0.35">
      <c r="A16" s="271" t="s">
        <v>29</v>
      </c>
      <c r="B16" s="272"/>
      <c r="C16" s="272"/>
      <c r="D16" s="272"/>
      <c r="E16" s="272"/>
      <c r="F16" s="272"/>
      <c r="G16" s="272"/>
      <c r="H16" s="273"/>
    </row>
    <row r="17" spans="1:8" ht="18.75" customHeight="1" x14ac:dyDescent="0.3">
      <c r="A17" s="120" t="s">
        <v>48</v>
      </c>
      <c r="B17" s="120"/>
      <c r="C17" s="231"/>
      <c r="D17" s="231"/>
      <c r="E17" s="231"/>
      <c r="F17" s="231"/>
      <c r="G17" s="231"/>
      <c r="H17" s="231"/>
    </row>
    <row r="18" spans="1:8" ht="26.25" customHeight="1" x14ac:dyDescent="0.4">
      <c r="A18" s="121" t="s">
        <v>31</v>
      </c>
      <c r="B18" s="274" t="str">
        <f>'Uniformity '!C11</f>
        <v>AMPIMED INJECTION</v>
      </c>
      <c r="C18" s="274"/>
      <c r="D18" s="274"/>
      <c r="E18" s="274"/>
      <c r="F18" s="231"/>
      <c r="G18" s="231"/>
      <c r="H18" s="231"/>
    </row>
    <row r="19" spans="1:8" ht="26.25" customHeight="1" x14ac:dyDescent="0.4">
      <c r="A19" s="121" t="s">
        <v>32</v>
      </c>
      <c r="B19" s="242" t="s">
        <v>6</v>
      </c>
      <c r="C19" s="231">
        <v>8</v>
      </c>
      <c r="D19" s="231"/>
      <c r="E19" s="231"/>
      <c r="F19" s="231"/>
      <c r="G19" s="231"/>
      <c r="H19" s="231"/>
    </row>
    <row r="20" spans="1:8" ht="26.25" customHeight="1" x14ac:dyDescent="0.4">
      <c r="A20" s="121" t="s">
        <v>33</v>
      </c>
      <c r="B20" s="242" t="str">
        <f>'Uniformity '!C13</f>
        <v>Ampicillin BP</v>
      </c>
      <c r="C20" s="231"/>
      <c r="D20" s="231"/>
      <c r="E20" s="231"/>
      <c r="F20" s="231"/>
      <c r="G20" s="231"/>
      <c r="H20" s="231"/>
    </row>
    <row r="21" spans="1:8" ht="26.25" customHeight="1" x14ac:dyDescent="0.4">
      <c r="A21" s="121" t="s">
        <v>34</v>
      </c>
      <c r="B21" s="275" t="s">
        <v>109</v>
      </c>
      <c r="C21" s="275"/>
      <c r="D21" s="275"/>
      <c r="E21" s="275"/>
      <c r="F21" s="275"/>
      <c r="G21" s="275"/>
      <c r="H21" s="275"/>
    </row>
    <row r="22" spans="1:8" ht="26.25" customHeight="1" x14ac:dyDescent="0.4">
      <c r="A22" s="121" t="s">
        <v>35</v>
      </c>
      <c r="B22" s="123">
        <v>42472</v>
      </c>
      <c r="C22" s="231"/>
      <c r="D22" s="231"/>
      <c r="E22" s="231"/>
      <c r="F22" s="231"/>
      <c r="G22" s="231"/>
      <c r="H22" s="231"/>
    </row>
    <row r="23" spans="1:8" ht="26.25" customHeight="1" x14ac:dyDescent="0.4">
      <c r="A23" s="121" t="s">
        <v>36</v>
      </c>
      <c r="B23" s="123">
        <v>42474</v>
      </c>
      <c r="C23" s="231"/>
      <c r="D23" s="231"/>
      <c r="E23" s="231"/>
      <c r="F23" s="231"/>
      <c r="G23" s="231"/>
      <c r="H23" s="231"/>
    </row>
    <row r="24" spans="1:8" ht="18.75" customHeight="1" x14ac:dyDescent="0.3">
      <c r="A24" s="121"/>
      <c r="B24" s="124"/>
      <c r="C24" s="231"/>
      <c r="D24" s="231"/>
      <c r="E24" s="231"/>
      <c r="F24" s="231"/>
      <c r="G24" s="231"/>
      <c r="H24" s="231"/>
    </row>
    <row r="25" spans="1:8" ht="18.75" customHeight="1" x14ac:dyDescent="0.3">
      <c r="A25" s="125" t="s">
        <v>1</v>
      </c>
      <c r="B25" s="124"/>
      <c r="C25" s="231"/>
      <c r="D25" s="231"/>
      <c r="E25" s="231"/>
      <c r="F25" s="231"/>
      <c r="G25" s="231"/>
      <c r="H25" s="231"/>
    </row>
    <row r="26" spans="1:8" ht="26.25" customHeight="1" x14ac:dyDescent="0.4">
      <c r="A26" s="228" t="s">
        <v>4</v>
      </c>
      <c r="B26" s="274" t="s">
        <v>112</v>
      </c>
      <c r="C26" s="274"/>
      <c r="D26" s="231"/>
      <c r="E26" s="231"/>
      <c r="F26" s="231"/>
      <c r="G26" s="231"/>
      <c r="H26" s="231"/>
    </row>
    <row r="27" spans="1:8" ht="26.25" customHeight="1" x14ac:dyDescent="0.4">
      <c r="A27" s="221" t="s">
        <v>49</v>
      </c>
      <c r="B27" s="275" t="s">
        <v>115</v>
      </c>
      <c r="C27" s="275"/>
      <c r="D27" s="231"/>
      <c r="E27" s="231"/>
      <c r="F27" s="231"/>
      <c r="G27" s="231"/>
      <c r="H27" s="231"/>
    </row>
    <row r="28" spans="1:8" ht="27" customHeight="1" thickBot="1" x14ac:dyDescent="0.45">
      <c r="A28" s="221" t="s">
        <v>5</v>
      </c>
      <c r="B28" s="128">
        <v>84.81</v>
      </c>
      <c r="C28" s="231"/>
      <c r="D28" s="231"/>
      <c r="E28" s="231"/>
      <c r="F28" s="231"/>
      <c r="G28" s="231"/>
      <c r="H28" s="231"/>
    </row>
    <row r="29" spans="1:8" ht="27" customHeight="1" thickBot="1" x14ac:dyDescent="0.45">
      <c r="A29" s="221" t="s">
        <v>50</v>
      </c>
      <c r="B29" s="129">
        <v>0</v>
      </c>
      <c r="C29" s="276" t="s">
        <v>51</v>
      </c>
      <c r="D29" s="277"/>
      <c r="E29" s="277"/>
      <c r="F29" s="277"/>
      <c r="G29" s="277"/>
      <c r="H29" s="278"/>
    </row>
    <row r="30" spans="1:8" ht="19.5" customHeight="1" thickBot="1" x14ac:dyDescent="0.35">
      <c r="A30" s="221" t="s">
        <v>52</v>
      </c>
      <c r="B30" s="241">
        <f>B28-B29</f>
        <v>84.81</v>
      </c>
      <c r="C30" s="131"/>
      <c r="D30" s="131"/>
      <c r="E30" s="131"/>
      <c r="F30" s="131"/>
      <c r="G30" s="131"/>
      <c r="H30" s="132"/>
    </row>
    <row r="31" spans="1:8" ht="27" customHeight="1" thickBot="1" x14ac:dyDescent="0.45">
      <c r="A31" s="221" t="s">
        <v>53</v>
      </c>
      <c r="B31" s="133">
        <v>349.41</v>
      </c>
      <c r="C31" s="279" t="s">
        <v>54</v>
      </c>
      <c r="D31" s="280"/>
      <c r="E31" s="280"/>
      <c r="F31" s="280"/>
      <c r="G31" s="280"/>
      <c r="H31" s="281"/>
    </row>
    <row r="32" spans="1:8" ht="27" customHeight="1" thickBot="1" x14ac:dyDescent="0.45">
      <c r="A32" s="221" t="s">
        <v>55</v>
      </c>
      <c r="B32" s="133">
        <v>403.45</v>
      </c>
      <c r="C32" s="279" t="s">
        <v>56</v>
      </c>
      <c r="D32" s="280"/>
      <c r="E32" s="280"/>
      <c r="F32" s="280"/>
      <c r="G32" s="280"/>
      <c r="H32" s="281"/>
    </row>
    <row r="33" spans="1:8" ht="18.75" customHeight="1" x14ac:dyDescent="0.3">
      <c r="A33" s="221"/>
      <c r="B33" s="134"/>
      <c r="C33" s="135"/>
      <c r="D33" s="135"/>
      <c r="E33" s="135"/>
      <c r="F33" s="135"/>
      <c r="G33" s="135"/>
      <c r="H33" s="135"/>
    </row>
    <row r="34" spans="1:8" ht="18.75" customHeight="1" x14ac:dyDescent="0.3">
      <c r="A34" s="221" t="s">
        <v>57</v>
      </c>
      <c r="B34" s="136">
        <f>B31/B32</f>
        <v>0.86605527326806309</v>
      </c>
      <c r="C34" s="231" t="s">
        <v>58</v>
      </c>
      <c r="D34" s="231"/>
      <c r="E34" s="231"/>
      <c r="F34" s="231"/>
      <c r="G34" s="231"/>
      <c r="H34" s="137"/>
    </row>
    <row r="35" spans="1:8" ht="19.5" customHeight="1" thickBot="1" x14ac:dyDescent="0.35">
      <c r="A35" s="221"/>
      <c r="B35" s="241"/>
      <c r="C35" s="137"/>
      <c r="D35" s="137"/>
      <c r="E35" s="137"/>
      <c r="F35" s="137"/>
      <c r="G35" s="231"/>
      <c r="H35" s="137"/>
    </row>
    <row r="36" spans="1:8" ht="27" customHeight="1" thickBot="1" x14ac:dyDescent="0.45">
      <c r="A36" s="138" t="s">
        <v>103</v>
      </c>
      <c r="B36" s="139">
        <v>100</v>
      </c>
      <c r="C36" s="231"/>
      <c r="D36" s="282" t="s">
        <v>59</v>
      </c>
      <c r="E36" s="283"/>
      <c r="F36" s="282" t="s">
        <v>60</v>
      </c>
      <c r="G36" s="284"/>
      <c r="H36" s="137"/>
    </row>
    <row r="37" spans="1:8" ht="26.25" customHeight="1" x14ac:dyDescent="0.4">
      <c r="A37" s="140" t="s">
        <v>61</v>
      </c>
      <c r="B37" s="141">
        <v>5</v>
      </c>
      <c r="C37" s="142" t="s">
        <v>62</v>
      </c>
      <c r="D37" s="143" t="s">
        <v>63</v>
      </c>
      <c r="E37" s="144" t="s">
        <v>64</v>
      </c>
      <c r="F37" s="143" t="s">
        <v>63</v>
      </c>
      <c r="G37" s="145" t="s">
        <v>64</v>
      </c>
      <c r="H37" s="137"/>
    </row>
    <row r="38" spans="1:8" ht="26.25" customHeight="1" x14ac:dyDescent="0.4">
      <c r="A38" s="140" t="s">
        <v>65</v>
      </c>
      <c r="B38" s="141">
        <v>20</v>
      </c>
      <c r="C38" s="146">
        <v>1</v>
      </c>
      <c r="D38" s="147">
        <v>2682467</v>
      </c>
      <c r="E38" s="148">
        <f>IF(ISBLANK(D38),"-",$D$48/$D$45*D38)</f>
        <v>2590901.8329935451</v>
      </c>
      <c r="F38" s="147">
        <v>2200065</v>
      </c>
      <c r="G38" s="149">
        <f>IF(ISBLANK(F38),"-",$D$48/$F$45*F38)</f>
        <v>2645845.2630726155</v>
      </c>
      <c r="H38" s="137"/>
    </row>
    <row r="39" spans="1:8" ht="26.25" customHeight="1" x14ac:dyDescent="0.4">
      <c r="A39" s="140" t="s">
        <v>66</v>
      </c>
      <c r="B39" s="141">
        <v>1</v>
      </c>
      <c r="C39" s="206">
        <v>2</v>
      </c>
      <c r="D39" s="151">
        <v>2676690</v>
      </c>
      <c r="E39" s="152">
        <f>IF(ISBLANK(D39),"-",$D$48/$D$45*D39)</f>
        <v>2585322.0290708113</v>
      </c>
      <c r="F39" s="151">
        <v>2189672</v>
      </c>
      <c r="G39" s="153">
        <f>IF(ISBLANK(F39),"-",$D$48/$F$45*F39)</f>
        <v>2633346.4188025082</v>
      </c>
      <c r="H39" s="137"/>
    </row>
    <row r="40" spans="1:8" ht="26.25" customHeight="1" x14ac:dyDescent="0.4">
      <c r="A40" s="140" t="s">
        <v>67</v>
      </c>
      <c r="B40" s="141">
        <v>1</v>
      </c>
      <c r="C40" s="206">
        <v>3</v>
      </c>
      <c r="D40" s="151">
        <v>2675012</v>
      </c>
      <c r="E40" s="152">
        <f>IF(ISBLANK(D40),"-",$D$48/$D$45*D40)</f>
        <v>2583701.3070728285</v>
      </c>
      <c r="F40" s="151">
        <v>2201811</v>
      </c>
      <c r="G40" s="153">
        <f>IF(ISBLANK(F40),"-",$D$48/$F$45*F40)</f>
        <v>2647945.0400470798</v>
      </c>
      <c r="H40" s="231"/>
    </row>
    <row r="41" spans="1:8" ht="26.25" customHeight="1" x14ac:dyDescent="0.4">
      <c r="A41" s="140" t="s">
        <v>68</v>
      </c>
      <c r="B41" s="141">
        <v>1</v>
      </c>
      <c r="C41" s="154">
        <v>4</v>
      </c>
      <c r="D41" s="155"/>
      <c r="E41" s="156" t="str">
        <f>IF(ISBLANK(D41),"-",$D$48/$D$45*D41)</f>
        <v>-</v>
      </c>
      <c r="F41" s="155"/>
      <c r="G41" s="157" t="str">
        <f>IF(ISBLANK(F41),"-",$D$48/$F$45*F41)</f>
        <v>-</v>
      </c>
      <c r="H41" s="231"/>
    </row>
    <row r="42" spans="1:8" ht="27" customHeight="1" thickBot="1" x14ac:dyDescent="0.45">
      <c r="A42" s="140" t="s">
        <v>69</v>
      </c>
      <c r="B42" s="141">
        <v>1</v>
      </c>
      <c r="C42" s="158" t="s">
        <v>70</v>
      </c>
      <c r="D42" s="159">
        <f>AVERAGE(D38:D41)</f>
        <v>2678056.3333333335</v>
      </c>
      <c r="E42" s="160">
        <f>AVERAGE(E38:E41)</f>
        <v>2586641.7230457282</v>
      </c>
      <c r="F42" s="159">
        <f>AVERAGE(F38:F41)</f>
        <v>2197182.6666666665</v>
      </c>
      <c r="G42" s="161">
        <f>AVERAGE(G38:G41)</f>
        <v>2642378.9073074013</v>
      </c>
      <c r="H42" s="162"/>
    </row>
    <row r="43" spans="1:8" ht="26.25" customHeight="1" x14ac:dyDescent="0.4">
      <c r="A43" s="140" t="s">
        <v>71</v>
      </c>
      <c r="B43" s="141">
        <v>1</v>
      </c>
      <c r="C43" s="163" t="s">
        <v>72</v>
      </c>
      <c r="D43" s="164">
        <v>33.83</v>
      </c>
      <c r="E43" s="231"/>
      <c r="F43" s="164">
        <v>27.17</v>
      </c>
      <c r="G43" s="231"/>
      <c r="H43" s="162"/>
    </row>
    <row r="44" spans="1:8" ht="26.25" customHeight="1" x14ac:dyDescent="0.4">
      <c r="A44" s="140" t="s">
        <v>73</v>
      </c>
      <c r="B44" s="141">
        <v>1</v>
      </c>
      <c r="C44" s="166" t="s">
        <v>74</v>
      </c>
      <c r="D44" s="167">
        <f>D43*$B$34</f>
        <v>29.298649894658574</v>
      </c>
      <c r="E44" s="218"/>
      <c r="F44" s="167">
        <f>F43*$B$34</f>
        <v>23.530721774693276</v>
      </c>
      <c r="G44" s="231"/>
      <c r="H44" s="162"/>
    </row>
    <row r="45" spans="1:8" ht="19.5" customHeight="1" thickBot="1" x14ac:dyDescent="0.35">
      <c r="A45" s="140" t="s">
        <v>75</v>
      </c>
      <c r="B45" s="206">
        <f>(B44/B43)*(B42/B41)*(B40/B39)*(B38/B37)*B36</f>
        <v>400</v>
      </c>
      <c r="C45" s="166" t="s">
        <v>76</v>
      </c>
      <c r="D45" s="170">
        <f>D44*$B$30/100</f>
        <v>24.848184975659937</v>
      </c>
      <c r="E45" s="215"/>
      <c r="F45" s="170">
        <f>F44*$B$30/100</f>
        <v>19.956405137117368</v>
      </c>
      <c r="G45" s="231"/>
      <c r="H45" s="162"/>
    </row>
    <row r="46" spans="1:8" ht="19.5" customHeight="1" thickBot="1" x14ac:dyDescent="0.35">
      <c r="A46" s="285" t="s">
        <v>77</v>
      </c>
      <c r="B46" s="286"/>
      <c r="C46" s="166" t="s">
        <v>78</v>
      </c>
      <c r="D46" s="167">
        <f>D45/$B$45</f>
        <v>6.2120462439149843E-2</v>
      </c>
      <c r="E46" s="215"/>
      <c r="F46" s="172">
        <f>F45/$B$45</f>
        <v>4.9891012842793424E-2</v>
      </c>
      <c r="G46" s="231"/>
      <c r="H46" s="162"/>
    </row>
    <row r="47" spans="1:8" ht="27" customHeight="1" thickBot="1" x14ac:dyDescent="0.45">
      <c r="A47" s="287"/>
      <c r="B47" s="288"/>
      <c r="C47" s="173" t="s">
        <v>79</v>
      </c>
      <c r="D47" s="174">
        <v>0.06</v>
      </c>
      <c r="E47" s="231"/>
      <c r="F47" s="175"/>
      <c r="G47" s="231"/>
      <c r="H47" s="162"/>
    </row>
    <row r="48" spans="1:8" ht="18.75" customHeight="1" x14ac:dyDescent="0.3">
      <c r="A48" s="231"/>
      <c r="B48" s="231"/>
      <c r="C48" s="176" t="s">
        <v>80</v>
      </c>
      <c r="D48" s="167">
        <f>D47*$B$45</f>
        <v>24</v>
      </c>
      <c r="E48" s="231"/>
      <c r="F48" s="175"/>
      <c r="G48" s="231"/>
      <c r="H48" s="162"/>
    </row>
    <row r="49" spans="1:8" ht="19.5" customHeight="1" thickBot="1" x14ac:dyDescent="0.35">
      <c r="A49" s="231"/>
      <c r="B49" s="231"/>
      <c r="C49" s="221" t="s">
        <v>81</v>
      </c>
      <c r="D49" s="178">
        <f>D48/B34</f>
        <v>27.711857130591564</v>
      </c>
      <c r="E49" s="231"/>
      <c r="F49" s="175"/>
      <c r="G49" s="231"/>
      <c r="H49" s="162"/>
    </row>
    <row r="50" spans="1:8" ht="18.75" customHeight="1" x14ac:dyDescent="0.3">
      <c r="A50" s="231"/>
      <c r="B50" s="231"/>
      <c r="C50" s="138" t="s">
        <v>82</v>
      </c>
      <c r="D50" s="179">
        <f>AVERAGE(E38:E41,G38:G41)</f>
        <v>2614510.3151765647</v>
      </c>
      <c r="E50" s="231"/>
      <c r="F50" s="180"/>
      <c r="G50" s="231"/>
      <c r="H50" s="162"/>
    </row>
    <row r="51" spans="1:8" ht="18.75" customHeight="1" x14ac:dyDescent="0.3">
      <c r="A51" s="231"/>
      <c r="B51" s="231"/>
      <c r="C51" s="173" t="s">
        <v>83</v>
      </c>
      <c r="D51" s="181">
        <f>STDEV(E38:E41,G38:G41)/D50</f>
        <v>1.1866857551795807E-2</v>
      </c>
      <c r="E51" s="231"/>
      <c r="F51" s="180"/>
      <c r="G51" s="231"/>
      <c r="H51" s="162"/>
    </row>
    <row r="52" spans="1:8" ht="19.5" customHeight="1" thickBot="1" x14ac:dyDescent="0.35">
      <c r="A52" s="231"/>
      <c r="B52" s="231"/>
      <c r="C52" s="182" t="s">
        <v>18</v>
      </c>
      <c r="D52" s="183">
        <f>COUNT(E38:E41,G38:G41)</f>
        <v>6</v>
      </c>
      <c r="E52" s="231"/>
      <c r="F52" s="180"/>
      <c r="G52" s="231"/>
      <c r="H52" s="231"/>
    </row>
    <row r="53" spans="1:8" ht="18.75" customHeight="1" x14ac:dyDescent="0.3">
      <c r="A53" s="231"/>
      <c r="B53" s="231"/>
      <c r="C53" s="231"/>
      <c r="D53" s="231"/>
      <c r="E53" s="231"/>
      <c r="F53" s="231"/>
      <c r="G53" s="231"/>
      <c r="H53" s="231"/>
    </row>
    <row r="54" spans="1:8" ht="18.75" customHeight="1" x14ac:dyDescent="0.3">
      <c r="A54" s="120" t="s">
        <v>1</v>
      </c>
      <c r="B54" s="184" t="s">
        <v>104</v>
      </c>
      <c r="C54" s="231"/>
      <c r="D54" s="231"/>
      <c r="E54" s="231"/>
      <c r="F54" s="231"/>
      <c r="G54" s="231"/>
      <c r="H54" s="231"/>
    </row>
    <row r="55" spans="1:8" ht="18.75" customHeight="1" x14ac:dyDescent="0.3">
      <c r="A55" s="231" t="s">
        <v>84</v>
      </c>
      <c r="B55" s="186" t="str">
        <f>B21</f>
        <v>Each vial contains 500mg of ampicillin BP</v>
      </c>
      <c r="C55" s="231"/>
      <c r="D55" s="231"/>
      <c r="E55" s="231"/>
      <c r="F55" s="231"/>
      <c r="G55" s="231"/>
      <c r="H55" s="231"/>
    </row>
    <row r="56" spans="1:8" ht="26.25" customHeight="1" x14ac:dyDescent="0.4">
      <c r="A56" s="186" t="s">
        <v>105</v>
      </c>
      <c r="B56" s="187">
        <v>500</v>
      </c>
      <c r="C56" s="231" t="str">
        <f>B20</f>
        <v>Ampicillin BP</v>
      </c>
      <c r="D56" s="231"/>
      <c r="E56" s="231"/>
      <c r="F56" s="231"/>
      <c r="G56" s="231"/>
      <c r="H56" s="218"/>
    </row>
    <row r="57" spans="1:8" ht="18.75" customHeight="1" x14ac:dyDescent="0.3">
      <c r="A57" s="186" t="s">
        <v>106</v>
      </c>
      <c r="B57" s="236">
        <f>'Uniformity '!D43</f>
        <v>568.28449999999998</v>
      </c>
      <c r="C57" s="231"/>
      <c r="D57" s="231"/>
      <c r="E57" s="231"/>
      <c r="F57" s="231"/>
      <c r="G57" s="231"/>
      <c r="H57" s="218"/>
    </row>
    <row r="58" spans="1:8" ht="19.5" customHeight="1" thickBot="1" x14ac:dyDescent="0.35">
      <c r="A58" s="231"/>
      <c r="B58" s="231"/>
      <c r="C58" s="231"/>
      <c r="D58" s="231"/>
      <c r="E58" s="231"/>
      <c r="F58" s="231"/>
      <c r="G58" s="231"/>
      <c r="H58" s="218"/>
    </row>
    <row r="59" spans="1:8" ht="27" customHeight="1" thickBot="1" x14ac:dyDescent="0.45">
      <c r="A59" s="138" t="s">
        <v>85</v>
      </c>
      <c r="B59" s="139">
        <v>100</v>
      </c>
      <c r="C59" s="231"/>
      <c r="D59" s="189" t="s">
        <v>107</v>
      </c>
      <c r="E59" s="190" t="s">
        <v>62</v>
      </c>
      <c r="F59" s="190" t="s">
        <v>63</v>
      </c>
      <c r="G59" s="190" t="s">
        <v>86</v>
      </c>
      <c r="H59" s="142" t="s">
        <v>87</v>
      </c>
    </row>
    <row r="60" spans="1:8" ht="26.25" customHeight="1" x14ac:dyDescent="0.4">
      <c r="A60" s="140" t="s">
        <v>88</v>
      </c>
      <c r="B60" s="141">
        <v>5</v>
      </c>
      <c r="C60" s="265" t="s">
        <v>89</v>
      </c>
      <c r="D60" s="268">
        <v>59.56</v>
      </c>
      <c r="E60" s="191">
        <v>1</v>
      </c>
      <c r="F60" s="252">
        <v>2182573</v>
      </c>
      <c r="G60" s="193">
        <f>IF(ISBLANK(F60),"-",(F60/$D$50*$D$47*$B$68)*($B$57/$D$60))</f>
        <v>477.90413790008625</v>
      </c>
      <c r="H60" s="194">
        <f t="shared" ref="H60:H71" si="0">IF(ISBLANK(F60),"-",G60/$B$56)</f>
        <v>0.95580827580017247</v>
      </c>
    </row>
    <row r="61" spans="1:8" ht="26.25" customHeight="1" x14ac:dyDescent="0.4">
      <c r="A61" s="140" t="s">
        <v>90</v>
      </c>
      <c r="B61" s="141">
        <v>50</v>
      </c>
      <c r="C61" s="266"/>
      <c r="D61" s="269"/>
      <c r="E61" s="195">
        <v>2</v>
      </c>
      <c r="F61" s="151">
        <v>2192551</v>
      </c>
      <c r="G61" s="196">
        <f>IF(ISBLANK(F61),"-",(F61/$D$50*$D$47*$B$68)*($B$57/$D$60))</f>
        <v>480.08895714231426</v>
      </c>
      <c r="H61" s="197">
        <f t="shared" si="0"/>
        <v>0.96017791428462851</v>
      </c>
    </row>
    <row r="62" spans="1:8" ht="26.25" customHeight="1" x14ac:dyDescent="0.4">
      <c r="A62" s="140" t="s">
        <v>91</v>
      </c>
      <c r="B62" s="141">
        <v>1</v>
      </c>
      <c r="C62" s="266"/>
      <c r="D62" s="269"/>
      <c r="E62" s="195">
        <v>3</v>
      </c>
      <c r="F62" s="151">
        <v>2185969</v>
      </c>
      <c r="G62" s="196">
        <f>IF(ISBLANK(F62),"-",(F62/$D$50*$D$47*$B$68)*($B$57/$D$60))</f>
        <v>478.6477384359257</v>
      </c>
      <c r="H62" s="197">
        <f t="shared" si="0"/>
        <v>0.95729547687185146</v>
      </c>
    </row>
    <row r="63" spans="1:8" ht="27" customHeight="1" thickBot="1" x14ac:dyDescent="0.45">
      <c r="A63" s="140" t="s">
        <v>92</v>
      </c>
      <c r="B63" s="141">
        <v>1</v>
      </c>
      <c r="C63" s="267"/>
      <c r="D63" s="270"/>
      <c r="E63" s="198">
        <v>4</v>
      </c>
      <c r="F63" s="199"/>
      <c r="G63" s="196" t="str">
        <f>IF(ISBLANK(F63),"-",(F63/$D$50*$D$47*$B$68)*($B$57/$D$60))</f>
        <v>-</v>
      </c>
      <c r="H63" s="197" t="str">
        <f t="shared" si="0"/>
        <v>-</v>
      </c>
    </row>
    <row r="64" spans="1:8" ht="26.25" customHeight="1" x14ac:dyDescent="0.4">
      <c r="A64" s="140" t="s">
        <v>93</v>
      </c>
      <c r="B64" s="141">
        <v>1</v>
      </c>
      <c r="C64" s="265" t="s">
        <v>94</v>
      </c>
      <c r="D64" s="268">
        <v>62.79</v>
      </c>
      <c r="E64" s="191">
        <v>1</v>
      </c>
      <c r="F64" s="192">
        <v>2317671</v>
      </c>
      <c r="G64" s="200">
        <f>IF(ISBLANK(F64),"-",(F64/$D$50*$D$47*$B$68)*($B$57/$D$64))</f>
        <v>481.37995852400104</v>
      </c>
      <c r="H64" s="201">
        <f t="shared" si="0"/>
        <v>0.96275991704800212</v>
      </c>
    </row>
    <row r="65" spans="1:8" ht="26.25" customHeight="1" x14ac:dyDescent="0.4">
      <c r="A65" s="140" t="s">
        <v>95</v>
      </c>
      <c r="B65" s="141">
        <v>1</v>
      </c>
      <c r="C65" s="266"/>
      <c r="D65" s="269"/>
      <c r="E65" s="195">
        <v>2</v>
      </c>
      <c r="F65" s="151">
        <v>2311545</v>
      </c>
      <c r="G65" s="202">
        <f>IF(ISBLANK(F65),"-",(F65/$D$50*$D$47*$B$68)*($B$57/$D$64))</f>
        <v>480.10758913856279</v>
      </c>
      <c r="H65" s="203">
        <f t="shared" si="0"/>
        <v>0.96021517827712555</v>
      </c>
    </row>
    <row r="66" spans="1:8" ht="26.25" customHeight="1" x14ac:dyDescent="0.4">
      <c r="A66" s="140" t="s">
        <v>96</v>
      </c>
      <c r="B66" s="141">
        <v>1</v>
      </c>
      <c r="C66" s="266"/>
      <c r="D66" s="269"/>
      <c r="E66" s="195">
        <v>3</v>
      </c>
      <c r="F66" s="151">
        <v>2313734</v>
      </c>
      <c r="G66" s="202">
        <f>IF(ISBLANK(F66),"-",(F66/$D$50*$D$47*$B$68)*($B$57/$D$64))</f>
        <v>480.5622441474959</v>
      </c>
      <c r="H66" s="203">
        <f t="shared" si="0"/>
        <v>0.96112448829499175</v>
      </c>
    </row>
    <row r="67" spans="1:8" ht="27" customHeight="1" thickBot="1" x14ac:dyDescent="0.45">
      <c r="A67" s="140" t="s">
        <v>97</v>
      </c>
      <c r="B67" s="141">
        <v>1</v>
      </c>
      <c r="C67" s="267"/>
      <c r="D67" s="270"/>
      <c r="E67" s="198">
        <v>4</v>
      </c>
      <c r="F67" s="199"/>
      <c r="G67" s="204" t="str">
        <f>IF(ISBLANK(F67),"-",(F67/$D$50*$D$47*$B$68)*($B$57/$D$64))</f>
        <v>-</v>
      </c>
      <c r="H67" s="205" t="str">
        <f t="shared" si="0"/>
        <v>-</v>
      </c>
    </row>
    <row r="68" spans="1:8" ht="26.25" customHeight="1" x14ac:dyDescent="0.4">
      <c r="A68" s="140" t="s">
        <v>98</v>
      </c>
      <c r="B68" s="206">
        <f>(B67/B66)*(B65/B64)*(B63/B62)*(B61/B60)*B59</f>
        <v>1000</v>
      </c>
      <c r="C68" s="265" t="s">
        <v>99</v>
      </c>
      <c r="D68" s="268">
        <v>56.29</v>
      </c>
      <c r="E68" s="191">
        <v>1</v>
      </c>
      <c r="F68" s="192">
        <v>2105848</v>
      </c>
      <c r="G68" s="200">
        <f>IF(ISBLANK(F68),"-",(F68/$D$50*$D$47*$B$68)*($B$57/$D$68))</f>
        <v>487.89062552381699</v>
      </c>
      <c r="H68" s="197">
        <f t="shared" si="0"/>
        <v>0.97578125104763402</v>
      </c>
    </row>
    <row r="69" spans="1:8" ht="27" customHeight="1" thickBot="1" x14ac:dyDescent="0.45">
      <c r="A69" s="182" t="s">
        <v>108</v>
      </c>
      <c r="B69" s="207">
        <f>(D47*B68)/B56*B57</f>
        <v>68.19413999999999</v>
      </c>
      <c r="C69" s="266"/>
      <c r="D69" s="269"/>
      <c r="E69" s="195">
        <v>2</v>
      </c>
      <c r="F69" s="151">
        <v>2110341</v>
      </c>
      <c r="G69" s="202">
        <f>IF(ISBLANK(F69),"-",(F69/$D$50*$D$47*$B$68)*($B$57/$D$68))</f>
        <v>488.93158032230122</v>
      </c>
      <c r="H69" s="197">
        <f t="shared" si="0"/>
        <v>0.97786316064460244</v>
      </c>
    </row>
    <row r="70" spans="1:8" ht="26.25" customHeight="1" x14ac:dyDescent="0.4">
      <c r="A70" s="285" t="s">
        <v>77</v>
      </c>
      <c r="B70" s="286"/>
      <c r="C70" s="266"/>
      <c r="D70" s="269"/>
      <c r="E70" s="195">
        <v>3</v>
      </c>
      <c r="F70" s="151">
        <v>2103903</v>
      </c>
      <c r="G70" s="202">
        <f>IF(ISBLANK(F70),"-",(F70/$D$50*$D$47*$B$68)*($B$57/$D$68))</f>
        <v>487.44000075572171</v>
      </c>
      <c r="H70" s="197">
        <f t="shared" si="0"/>
        <v>0.97488000151144338</v>
      </c>
    </row>
    <row r="71" spans="1:8" ht="27" customHeight="1" thickBot="1" x14ac:dyDescent="0.45">
      <c r="A71" s="287"/>
      <c r="B71" s="288"/>
      <c r="C71" s="290"/>
      <c r="D71" s="270"/>
      <c r="E71" s="198">
        <v>4</v>
      </c>
      <c r="F71" s="199"/>
      <c r="G71" s="204" t="str">
        <f>IF(ISBLANK(F71),"-",(F71/$D$50*$D$47*$B$68)*($B$57/$D$68))</f>
        <v>-</v>
      </c>
      <c r="H71" s="208" t="str">
        <f t="shared" si="0"/>
        <v>-</v>
      </c>
    </row>
    <row r="72" spans="1:8" ht="26.25" customHeight="1" x14ac:dyDescent="0.4">
      <c r="A72" s="218"/>
      <c r="B72" s="218"/>
      <c r="C72" s="218"/>
      <c r="D72" s="218"/>
      <c r="E72" s="218"/>
      <c r="F72" s="218"/>
      <c r="G72" s="211" t="s">
        <v>70</v>
      </c>
      <c r="H72" s="212">
        <f>AVERAGE(H60:H71)</f>
        <v>0.96510062930893925</v>
      </c>
    </row>
    <row r="73" spans="1:8" ht="26.25" customHeight="1" x14ac:dyDescent="0.4">
      <c r="A73" s="231"/>
      <c r="B73" s="231"/>
      <c r="C73" s="218"/>
      <c r="D73" s="218"/>
      <c r="E73" s="218"/>
      <c r="F73" s="218"/>
      <c r="G73" s="213" t="s">
        <v>83</v>
      </c>
      <c r="H73" s="214">
        <f>STDEV(H60:H71)/H72</f>
        <v>8.8926828678959347E-3</v>
      </c>
    </row>
    <row r="74" spans="1:8" ht="27" customHeight="1" thickBot="1" x14ac:dyDescent="0.45">
      <c r="A74" s="218"/>
      <c r="B74" s="218"/>
      <c r="C74" s="218"/>
      <c r="D74" s="218"/>
      <c r="E74" s="215"/>
      <c r="F74" s="218"/>
      <c r="G74" s="216" t="s">
        <v>18</v>
      </c>
      <c r="H74" s="217">
        <f>COUNT(H60:H71)</f>
        <v>9</v>
      </c>
    </row>
    <row r="75" spans="1:8" ht="18.75" customHeight="1" x14ac:dyDescent="0.3">
      <c r="A75" s="218"/>
      <c r="B75" s="218"/>
      <c r="C75" s="218"/>
      <c r="D75" s="218"/>
      <c r="E75" s="215"/>
      <c r="F75" s="218"/>
      <c r="G75" s="221"/>
      <c r="H75" s="241"/>
    </row>
    <row r="76" spans="1:8" ht="26.25" customHeight="1" x14ac:dyDescent="0.4">
      <c r="A76" s="228" t="s">
        <v>100</v>
      </c>
      <c r="B76" s="221" t="s">
        <v>101</v>
      </c>
      <c r="C76" s="291" t="str">
        <f>B20</f>
        <v>Ampicillin BP</v>
      </c>
      <c r="D76" s="291"/>
      <c r="E76" s="231" t="s">
        <v>102</v>
      </c>
      <c r="F76" s="231"/>
      <c r="G76" s="223">
        <f>H72</f>
        <v>0.96510062930893925</v>
      </c>
      <c r="H76" s="241"/>
    </row>
    <row r="77" spans="1:8" ht="19.5" customHeight="1" thickBot="1" x14ac:dyDescent="0.35">
      <c r="A77" s="224"/>
      <c r="B77" s="224"/>
      <c r="C77" s="225"/>
      <c r="D77" s="225"/>
      <c r="E77" s="225"/>
      <c r="F77" s="225"/>
      <c r="G77" s="225"/>
      <c r="H77" s="225"/>
    </row>
    <row r="78" spans="1:8" ht="18.75" customHeight="1" x14ac:dyDescent="0.3">
      <c r="A78" s="231"/>
      <c r="B78" s="289" t="s">
        <v>24</v>
      </c>
      <c r="C78" s="289"/>
      <c r="D78" s="231"/>
      <c r="E78" s="240" t="s">
        <v>25</v>
      </c>
      <c r="F78" s="227"/>
      <c r="G78" s="289" t="s">
        <v>26</v>
      </c>
      <c r="H78" s="289"/>
    </row>
    <row r="79" spans="1:8" ht="60" customHeight="1" x14ac:dyDescent="0.3">
      <c r="A79" s="228" t="s">
        <v>27</v>
      </c>
      <c r="B79" s="229" t="s">
        <v>111</v>
      </c>
      <c r="C79" s="229"/>
      <c r="D79" s="231"/>
      <c r="E79" s="232"/>
      <c r="F79" s="231"/>
      <c r="G79" s="232"/>
      <c r="H79" s="232"/>
    </row>
    <row r="80" spans="1:8" ht="60" customHeight="1" x14ac:dyDescent="0.3">
      <c r="A80" s="228" t="s">
        <v>28</v>
      </c>
      <c r="B80" s="233"/>
      <c r="C80" s="233"/>
      <c r="D80" s="231"/>
      <c r="E80" s="234"/>
      <c r="F80" s="231"/>
      <c r="G80" s="235"/>
      <c r="H80" s="235"/>
    </row>
    <row r="250" spans="1:1" x14ac:dyDescent="0.2">
      <c r="A250" s="44">
        <v>5</v>
      </c>
    </row>
  </sheetData>
  <sheetProtection password="F258" sheet="1" formatColumns="0" formatRows="0" insertColumns="0" insertHyperlinks="0" deleteColumns="0" deleteRows="0" autoFilter="0" pivotTables="0"/>
  <mergeCells count="23">
    <mergeCell ref="C76:D76"/>
    <mergeCell ref="B78:C78"/>
    <mergeCell ref="G78:H78"/>
    <mergeCell ref="A46:B47"/>
    <mergeCell ref="C60:C63"/>
    <mergeCell ref="D60:D63"/>
    <mergeCell ref="C64:C67"/>
    <mergeCell ref="D64:D67"/>
    <mergeCell ref="C68:C71"/>
    <mergeCell ref="D68:D71"/>
    <mergeCell ref="A70:B71"/>
    <mergeCell ref="B27:C27"/>
    <mergeCell ref="C29:H29"/>
    <mergeCell ref="C31:H31"/>
    <mergeCell ref="C32:H32"/>
    <mergeCell ref="D36:E36"/>
    <mergeCell ref="F36:G36"/>
    <mergeCell ref="B26:C26"/>
    <mergeCell ref="A1:H7"/>
    <mergeCell ref="A8:H14"/>
    <mergeCell ref="A16:H16"/>
    <mergeCell ref="B18:E18"/>
    <mergeCell ref="B21:H21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topLeftCell="A7" zoomScale="60" zoomScaleNormal="80" workbookViewId="0">
      <selection activeCell="B18" sqref="B18"/>
    </sheetView>
  </sheetViews>
  <sheetFormatPr defaultRowHeight="13.5" x14ac:dyDescent="0.25"/>
  <cols>
    <col min="1" max="1" width="27.5703125" style="73" customWidth="1"/>
    <col min="2" max="2" width="20.42578125" style="73" customWidth="1"/>
    <col min="3" max="3" width="31.85546875" style="73" customWidth="1"/>
    <col min="4" max="4" width="25.85546875" style="73" customWidth="1"/>
    <col min="5" max="5" width="25.7109375" style="73" customWidth="1"/>
    <col min="6" max="6" width="23.140625" style="73" customWidth="1"/>
    <col min="7" max="7" width="28.42578125" style="73" customWidth="1"/>
    <col min="8" max="8" width="21.5703125" style="73" customWidth="1"/>
    <col min="9" max="9" width="9.140625" style="73" customWidth="1"/>
    <col min="10" max="16384" width="9.140625" style="44"/>
  </cols>
  <sheetData>
    <row r="14" spans="1:6" ht="15" customHeight="1" x14ac:dyDescent="0.3">
      <c r="A14" s="76"/>
      <c r="C14" s="3"/>
      <c r="F14" s="3"/>
    </row>
    <row r="15" spans="1:6" ht="18.75" customHeight="1" x14ac:dyDescent="0.3">
      <c r="A15" s="254" t="s">
        <v>0</v>
      </c>
      <c r="B15" s="254"/>
      <c r="C15" s="254"/>
      <c r="D15" s="254"/>
      <c r="E15" s="254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116</v>
      </c>
      <c r="D17" s="9"/>
      <c r="E17" s="36"/>
    </row>
    <row r="18" spans="1:5" ht="16.5" customHeight="1" x14ac:dyDescent="0.3">
      <c r="A18" s="11" t="s">
        <v>4</v>
      </c>
      <c r="B18" s="8" t="s">
        <v>112</v>
      </c>
      <c r="C18" s="36"/>
      <c r="D18" s="36"/>
      <c r="E18" s="36"/>
    </row>
    <row r="19" spans="1:5" ht="16.5" customHeight="1" x14ac:dyDescent="0.3">
      <c r="A19" s="11" t="s">
        <v>5</v>
      </c>
      <c r="B19" s="250">
        <v>84.81</v>
      </c>
      <c r="C19" s="36"/>
      <c r="D19" s="36"/>
      <c r="E19" s="36"/>
    </row>
    <row r="20" spans="1:5" ht="16.5" customHeight="1" x14ac:dyDescent="0.3">
      <c r="A20" s="8" t="s">
        <v>7</v>
      </c>
      <c r="B20" s="250">
        <v>33.83</v>
      </c>
      <c r="C20" s="36"/>
      <c r="D20" s="36"/>
      <c r="E20" s="36"/>
    </row>
    <row r="21" spans="1:5" ht="16.5" customHeight="1" x14ac:dyDescent="0.3">
      <c r="A21" s="8" t="s">
        <v>9</v>
      </c>
      <c r="B21" s="251">
        <f>B20/100*5/25</f>
        <v>6.7659999999999998E-2</v>
      </c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245" t="s">
        <v>15</v>
      </c>
    </row>
    <row r="24" spans="1:5" ht="16.5" customHeight="1" x14ac:dyDescent="0.3">
      <c r="A24" s="17">
        <v>1</v>
      </c>
      <c r="B24" s="18">
        <v>2675227</v>
      </c>
      <c r="C24" s="18">
        <v>4818</v>
      </c>
      <c r="D24" s="243">
        <v>0.97</v>
      </c>
      <c r="E24" s="247">
        <v>5.78</v>
      </c>
    </row>
    <row r="25" spans="1:5" ht="16.5" customHeight="1" x14ac:dyDescent="0.3">
      <c r="A25" s="17">
        <v>2</v>
      </c>
      <c r="B25" s="18">
        <v>2674296</v>
      </c>
      <c r="C25" s="18">
        <v>4808</v>
      </c>
      <c r="D25" s="243">
        <v>0.98</v>
      </c>
      <c r="E25" s="248">
        <v>5.78</v>
      </c>
    </row>
    <row r="26" spans="1:5" ht="16.5" customHeight="1" x14ac:dyDescent="0.3">
      <c r="A26" s="17">
        <v>3</v>
      </c>
      <c r="B26" s="18">
        <v>2676313</v>
      </c>
      <c r="C26" s="18">
        <v>4781</v>
      </c>
      <c r="D26" s="243">
        <v>0.98</v>
      </c>
      <c r="E26" s="248">
        <v>5.78</v>
      </c>
    </row>
    <row r="27" spans="1:5" ht="16.5" customHeight="1" x14ac:dyDescent="0.3">
      <c r="A27" s="17">
        <v>4</v>
      </c>
      <c r="B27" s="18">
        <v>2679027</v>
      </c>
      <c r="C27" s="18">
        <v>4779</v>
      </c>
      <c r="D27" s="243">
        <v>0.97</v>
      </c>
      <c r="E27" s="248">
        <v>5.79</v>
      </c>
    </row>
    <row r="28" spans="1:5" ht="16.5" customHeight="1" x14ac:dyDescent="0.3">
      <c r="A28" s="17">
        <v>5</v>
      </c>
      <c r="B28" s="18">
        <v>2677072</v>
      </c>
      <c r="C28" s="18">
        <v>4777</v>
      </c>
      <c r="D28" s="243">
        <v>0.97</v>
      </c>
      <c r="E28" s="248">
        <v>5.79</v>
      </c>
    </row>
    <row r="29" spans="1:5" ht="16.5" customHeight="1" x14ac:dyDescent="0.3">
      <c r="A29" s="17">
        <v>6</v>
      </c>
      <c r="B29" s="21">
        <v>2676408</v>
      </c>
      <c r="C29" s="21">
        <v>4719</v>
      </c>
      <c r="D29" s="244">
        <v>0.99</v>
      </c>
      <c r="E29" s="249">
        <v>5.79</v>
      </c>
    </row>
    <row r="30" spans="1:5" ht="16.5" customHeight="1" x14ac:dyDescent="0.3">
      <c r="A30" s="23" t="s">
        <v>16</v>
      </c>
      <c r="B30" s="24">
        <f>AVERAGE(B24:B29)</f>
        <v>2676390.5</v>
      </c>
      <c r="C30" s="237">
        <f>AVERAGE(C24:C29)</f>
        <v>4780.333333333333</v>
      </c>
      <c r="D30" s="26">
        <f>AVERAGE(D24:D29)</f>
        <v>0.97666666666666657</v>
      </c>
      <c r="E30" s="246">
        <f>AVERAGE(E24:E29)</f>
        <v>5.7850000000000001</v>
      </c>
    </row>
    <row r="31" spans="1:5" ht="16.5" customHeight="1" x14ac:dyDescent="0.3">
      <c r="A31" s="27" t="s">
        <v>17</v>
      </c>
      <c r="B31" s="28">
        <f>(STDEV(B24:B29)/B30)</f>
        <v>6.0622735165403031E-4</v>
      </c>
      <c r="C31" s="29"/>
      <c r="D31" s="29"/>
      <c r="E31" s="30"/>
    </row>
    <row r="32" spans="1:5" s="73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5" s="73" customFormat="1" ht="15.75" customHeight="1" x14ac:dyDescent="0.25">
      <c r="A33" s="36"/>
      <c r="B33" s="36"/>
      <c r="C33" s="36"/>
      <c r="D33" s="36"/>
      <c r="E33" s="36"/>
    </row>
    <row r="34" spans="1:5" s="73" customFormat="1" ht="16.5" customHeight="1" x14ac:dyDescent="0.3">
      <c r="A34" s="11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11"/>
      <c r="B35" s="40" t="s">
        <v>21</v>
      </c>
      <c r="C35" s="39"/>
      <c r="D35" s="39"/>
      <c r="E35" s="39"/>
    </row>
    <row r="36" spans="1:5" ht="16.5" customHeight="1" x14ac:dyDescent="0.3">
      <c r="A36" s="11"/>
      <c r="B36" s="40" t="s">
        <v>22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/>
      <c r="B38" s="6" t="s">
        <v>23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5</v>
      </c>
      <c r="B40" s="12"/>
      <c r="C40" s="36"/>
      <c r="D40" s="36"/>
      <c r="E40" s="36"/>
    </row>
    <row r="41" spans="1:5" ht="16.5" customHeight="1" x14ac:dyDescent="0.3">
      <c r="A41" s="8" t="s">
        <v>7</v>
      </c>
      <c r="B41" s="12"/>
      <c r="C41" s="36"/>
      <c r="D41" s="36"/>
      <c r="E41" s="36"/>
    </row>
    <row r="42" spans="1:5" ht="16.5" customHeight="1" x14ac:dyDescent="0.3">
      <c r="A42" s="8" t="s">
        <v>9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</row>
    <row r="53" spans="1:7" s="73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73" customFormat="1" ht="15.75" customHeight="1" x14ac:dyDescent="0.25">
      <c r="A54" s="36"/>
      <c r="B54" s="36"/>
      <c r="C54" s="36"/>
      <c r="D54" s="36"/>
      <c r="E54" s="36"/>
    </row>
    <row r="55" spans="1:7" s="73" customFormat="1" ht="16.5" customHeight="1" x14ac:dyDescent="0.3">
      <c r="A55" s="11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11"/>
      <c r="B56" s="40" t="s">
        <v>21</v>
      </c>
      <c r="C56" s="39"/>
      <c r="D56" s="39"/>
      <c r="E56" s="39"/>
    </row>
    <row r="57" spans="1:7" ht="16.5" customHeight="1" x14ac:dyDescent="0.3">
      <c r="A57" s="11"/>
      <c r="B57" s="40" t="s">
        <v>22</v>
      </c>
      <c r="C57" s="39"/>
      <c r="D57" s="39"/>
      <c r="E57" s="39"/>
    </row>
    <row r="58" spans="1:7" ht="14.25" customHeight="1" thickBot="1" x14ac:dyDescent="0.3">
      <c r="A58" s="110"/>
      <c r="B58" s="162"/>
      <c r="D58" s="43"/>
      <c r="F58" s="44"/>
      <c r="G58" s="44"/>
    </row>
    <row r="59" spans="1:7" ht="15" customHeight="1" x14ac:dyDescent="0.3">
      <c r="B59" s="255" t="s">
        <v>24</v>
      </c>
      <c r="C59" s="255"/>
      <c r="E59" s="238" t="s">
        <v>25</v>
      </c>
      <c r="F59" s="113"/>
      <c r="G59" s="238" t="s">
        <v>26</v>
      </c>
    </row>
    <row r="60" spans="1:7" ht="15" customHeight="1" x14ac:dyDescent="0.3">
      <c r="A60" s="239" t="s">
        <v>27</v>
      </c>
      <c r="B60" s="116" t="s">
        <v>111</v>
      </c>
      <c r="C60" s="116"/>
      <c r="E60" s="116"/>
      <c r="G60" s="116"/>
    </row>
    <row r="61" spans="1:7" ht="15" customHeight="1" x14ac:dyDescent="0.3">
      <c r="A61" s="239" t="s">
        <v>28</v>
      </c>
      <c r="B61" s="117"/>
      <c r="C61" s="117"/>
      <c r="E61" s="117"/>
      <c r="G61" s="11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</vt:lpstr>
      <vt:lpstr>Uniformity </vt:lpstr>
      <vt:lpstr>Ampicillin</vt:lpstr>
      <vt:lpstr>Ampicillin final</vt:lpstr>
      <vt:lpstr>SST final</vt:lpstr>
      <vt:lpstr>Ampicillin!Print_Area</vt:lpstr>
      <vt:lpstr>'Ampicillin final'!Print_Area</vt:lpstr>
      <vt:lpstr>SST!Print_Area</vt:lpstr>
      <vt:lpstr>'SST final'!Print_Area</vt:lpstr>
      <vt:lpstr>'Uniformity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Kefa</cp:lastModifiedBy>
  <cp:lastPrinted>2016-04-14T06:25:26Z</cp:lastPrinted>
  <dcterms:created xsi:type="dcterms:W3CDTF">2005-07-05T10:19:27Z</dcterms:created>
  <dcterms:modified xsi:type="dcterms:W3CDTF">2016-04-14T11:34:31Z</dcterms:modified>
</cp:coreProperties>
</file>