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2"/>
  </bookViews>
  <sheets>
    <sheet name="SST" sheetId="1" r:id="rId1"/>
    <sheet name="Uniformity - Misoprostol" sheetId="8" r:id="rId2"/>
    <sheet name="MIFEPRISTONE" sheetId="3" r:id="rId3"/>
    <sheet name="Uniformity - Mifepristone" sheetId="9" r:id="rId4"/>
    <sheet name="MISOPROSTOL 2" sheetId="6" r:id="rId5"/>
  </sheets>
  <definedNames>
    <definedName name="_xlnm.Print_Area" localSheetId="2">MIFEPRISTONE!$A$1:$H$125</definedName>
    <definedName name="_xlnm.Print_Area" localSheetId="4">'MISOPROSTOL 2'!$A$1:$G$133</definedName>
    <definedName name="_xlnm.Print_Area" localSheetId="3">'Uniformity - Mifepristone'!$A$1:$F$51</definedName>
    <definedName name="_xlnm.Print_Area" localSheetId="1">'Uniformity - Misoprostol'!$A$1:$F$51</definedName>
  </definedNames>
  <calcPr calcId="145621"/>
</workbook>
</file>

<file path=xl/calcChain.xml><?xml version="1.0" encoding="utf-8"?>
<calcChain xmlns="http://schemas.openxmlformats.org/spreadsheetml/2006/main">
  <c r="E91" i="3" l="1"/>
  <c r="E95" i="3"/>
  <c r="D100" i="3"/>
  <c r="B80" i="3"/>
  <c r="H72" i="3"/>
  <c r="G60" i="3"/>
  <c r="C76" i="3"/>
  <c r="B57" i="3"/>
  <c r="C120" i="3"/>
  <c r="C82" i="6" l="1"/>
  <c r="C74" i="6"/>
  <c r="C129" i="6"/>
  <c r="D104" i="6"/>
  <c r="G104" i="6"/>
  <c r="F104" i="6"/>
  <c r="C83" i="6"/>
  <c r="C81" i="6"/>
  <c r="G59" i="6"/>
  <c r="B57" i="6"/>
  <c r="F60" i="6"/>
  <c r="F59" i="6"/>
  <c r="E55" i="6"/>
  <c r="G38" i="6"/>
  <c r="G42" i="6"/>
  <c r="F42" i="6"/>
  <c r="B42" i="1" l="1"/>
  <c r="B21" i="1"/>
  <c r="C43" i="9"/>
  <c r="D47" i="9" s="1"/>
  <c r="C42" i="9"/>
  <c r="D33" i="9"/>
  <c r="D32" i="9"/>
  <c r="D26" i="9"/>
  <c r="D36" i="9" l="1"/>
  <c r="D40" i="9"/>
  <c r="D34" i="9"/>
  <c r="D28" i="9"/>
  <c r="C46" i="9"/>
  <c r="D24" i="9"/>
  <c r="D25" i="9"/>
  <c r="D27" i="9"/>
  <c r="D35" i="9"/>
  <c r="B46" i="9"/>
  <c r="D21" i="9"/>
  <c r="D29" i="9"/>
  <c r="D37" i="9"/>
  <c r="D46" i="9"/>
  <c r="D22" i="9"/>
  <c r="D30" i="9"/>
  <c r="D38" i="9"/>
  <c r="C47" i="9"/>
  <c r="D23" i="9"/>
  <c r="D31" i="9"/>
  <c r="D39" i="9"/>
  <c r="C30" i="1"/>
  <c r="C43" i="8"/>
  <c r="D22" i="8" s="1"/>
  <c r="C42" i="8"/>
  <c r="D26" i="8"/>
  <c r="D27" i="8"/>
  <c r="D28" i="8"/>
  <c r="D29" i="8"/>
  <c r="D34" i="8"/>
  <c r="D35" i="8"/>
  <c r="D36" i="8"/>
  <c r="D37" i="8"/>
  <c r="D21" i="8"/>
  <c r="B46" i="8"/>
  <c r="D33" i="8" l="1"/>
  <c r="D25" i="8"/>
  <c r="D40" i="8"/>
  <c r="D32" i="8"/>
  <c r="D24" i="8"/>
  <c r="D39" i="8"/>
  <c r="D31" i="8"/>
  <c r="D23" i="8"/>
  <c r="D38" i="8"/>
  <c r="D30" i="8"/>
  <c r="C46" i="8"/>
  <c r="D46" i="8"/>
  <c r="C47" i="8"/>
  <c r="D47" i="8"/>
  <c r="B20" i="1"/>
  <c r="B19" i="1"/>
  <c r="B18" i="1"/>
  <c r="B41" i="1" l="1"/>
  <c r="B40" i="1"/>
  <c r="B39" i="1"/>
  <c r="B89" i="6"/>
  <c r="B88" i="6"/>
  <c r="B30" i="6"/>
  <c r="B34" i="6"/>
  <c r="D44" i="6" s="1"/>
  <c r="E39" i="6"/>
  <c r="G39" i="6"/>
  <c r="E40" i="6"/>
  <c r="G40" i="6"/>
  <c r="E41" i="6"/>
  <c r="G41" i="6"/>
  <c r="D42" i="6"/>
  <c r="F44" i="6"/>
  <c r="F45" i="6" s="1"/>
  <c r="B45" i="6"/>
  <c r="D48" i="6" s="1"/>
  <c r="D49" i="6" s="1"/>
  <c r="B55" i="6"/>
  <c r="C56" i="6"/>
  <c r="E59" i="6"/>
  <c r="E60" i="6"/>
  <c r="G60" i="6" s="1"/>
  <c r="E62" i="6"/>
  <c r="G62" i="6"/>
  <c r="E63" i="6"/>
  <c r="G63" i="6" s="1"/>
  <c r="E64" i="6"/>
  <c r="E65" i="6"/>
  <c r="G65" i="6"/>
  <c r="E66" i="6"/>
  <c r="G66" i="6" s="1"/>
  <c r="B67" i="6"/>
  <c r="E67" i="6"/>
  <c r="G67" i="6"/>
  <c r="E68" i="6"/>
  <c r="G68" i="6" s="1"/>
  <c r="B90" i="6"/>
  <c r="B91" i="6" s="1"/>
  <c r="B96" i="6"/>
  <c r="E103" i="6"/>
  <c r="G103" i="6"/>
  <c r="D106" i="6"/>
  <c r="D107" i="6" s="1"/>
  <c r="E100" i="6" s="1"/>
  <c r="F106" i="6"/>
  <c r="F107" i="6" s="1"/>
  <c r="G101" i="6" s="1"/>
  <c r="B107" i="6"/>
  <c r="B125" i="6"/>
  <c r="D109" i="6" s="1"/>
  <c r="B116" i="3"/>
  <c r="B98" i="3"/>
  <c r="F95" i="3"/>
  <c r="D95" i="3"/>
  <c r="B87" i="3"/>
  <c r="F97" i="3" s="1"/>
  <c r="B81" i="3"/>
  <c r="B83" i="3" s="1"/>
  <c r="B79" i="3"/>
  <c r="B68" i="3"/>
  <c r="C56" i="3"/>
  <c r="B55" i="3"/>
  <c r="B45" i="3"/>
  <c r="D48" i="3" s="1"/>
  <c r="F42" i="3"/>
  <c r="D42" i="3"/>
  <c r="B34" i="3"/>
  <c r="F44" i="3" s="1"/>
  <c r="B30" i="3"/>
  <c r="B53" i="1"/>
  <c r="E51" i="1"/>
  <c r="D51" i="1"/>
  <c r="C51" i="1"/>
  <c r="B51" i="1"/>
  <c r="B52" i="1" s="1"/>
  <c r="B32" i="1"/>
  <c r="E30" i="1"/>
  <c r="D30" i="1"/>
  <c r="B30" i="1"/>
  <c r="B31" i="1" s="1"/>
  <c r="G100" i="6" l="1"/>
  <c r="E101" i="6"/>
  <c r="E102" i="6"/>
  <c r="G102" i="6"/>
  <c r="D110" i="6"/>
  <c r="D111" i="6" s="1"/>
  <c r="F108" i="6"/>
  <c r="D108" i="6"/>
  <c r="G64" i="6"/>
  <c r="E38" i="6"/>
  <c r="E42" i="6" s="1"/>
  <c r="F46" i="6"/>
  <c r="D52" i="6"/>
  <c r="D45" i="6"/>
  <c r="D46" i="6" s="1"/>
  <c r="D101" i="3"/>
  <c r="D102" i="3" s="1"/>
  <c r="I92" i="3"/>
  <c r="I39" i="3"/>
  <c r="D44" i="3"/>
  <c r="D45" i="3"/>
  <c r="E39" i="3" s="1"/>
  <c r="F45" i="3"/>
  <c r="G40" i="3" s="1"/>
  <c r="B69" i="3"/>
  <c r="F98" i="3"/>
  <c r="F99" i="3" s="1"/>
  <c r="D97" i="3"/>
  <c r="D98" i="3" s="1"/>
  <c r="D99" i="3" s="1"/>
  <c r="D49" i="3"/>
  <c r="D112" i="6" l="1"/>
  <c r="E120" i="6" s="1"/>
  <c r="F120" i="6" s="1"/>
  <c r="E104" i="6"/>
  <c r="D114" i="6"/>
  <c r="D50" i="6"/>
  <c r="D51" i="6" s="1"/>
  <c r="F46" i="3"/>
  <c r="E41" i="3"/>
  <c r="E38" i="3"/>
  <c r="D46" i="3"/>
  <c r="E40" i="3"/>
  <c r="G39" i="3"/>
  <c r="G41" i="3"/>
  <c r="G38" i="3"/>
  <c r="G93" i="3"/>
  <c r="G91" i="3"/>
  <c r="G94" i="3"/>
  <c r="E93" i="3"/>
  <c r="E94" i="3"/>
  <c r="E92" i="3"/>
  <c r="G92" i="3"/>
  <c r="D113" i="6" l="1"/>
  <c r="E122" i="6"/>
  <c r="F122" i="6" s="1"/>
  <c r="E119" i="6"/>
  <c r="F119" i="6" s="1"/>
  <c r="E121" i="6"/>
  <c r="F121" i="6" s="1"/>
  <c r="E118" i="6"/>
  <c r="F118" i="6" s="1"/>
  <c r="E117" i="6"/>
  <c r="F117" i="6" s="1"/>
  <c r="E61" i="6"/>
  <c r="E70" i="6" s="1"/>
  <c r="D105" i="3"/>
  <c r="D103" i="3"/>
  <c r="E109" i="3" s="1"/>
  <c r="F109" i="3" s="1"/>
  <c r="G95" i="3"/>
  <c r="E42" i="3"/>
  <c r="D52" i="3"/>
  <c r="D50" i="3"/>
  <c r="G61" i="3" s="1"/>
  <c r="H61" i="3" s="1"/>
  <c r="G42" i="3"/>
  <c r="F124" i="6" l="1"/>
  <c r="G129" i="6" s="1"/>
  <c r="F126" i="6"/>
  <c r="F67" i="6"/>
  <c r="F68" i="6"/>
  <c r="F65" i="6"/>
  <c r="F66" i="6"/>
  <c r="F63" i="6"/>
  <c r="F64" i="6"/>
  <c r="F62" i="6"/>
  <c r="E71" i="6"/>
  <c r="G61" i="6"/>
  <c r="G70" i="6" s="1"/>
  <c r="E72" i="6"/>
  <c r="F61" i="6"/>
  <c r="E110" i="3"/>
  <c r="F110" i="3" s="1"/>
  <c r="E111" i="3"/>
  <c r="F111" i="3" s="1"/>
  <c r="E113" i="3"/>
  <c r="F113" i="3" s="1"/>
  <c r="D104" i="3"/>
  <c r="E112" i="3"/>
  <c r="F112" i="3" s="1"/>
  <c r="E108" i="3"/>
  <c r="G66" i="3"/>
  <c r="H66" i="3" s="1"/>
  <c r="G63" i="3"/>
  <c r="H63" i="3" s="1"/>
  <c r="H60" i="3"/>
  <c r="G69" i="3"/>
  <c r="H69" i="3" s="1"/>
  <c r="G67" i="3"/>
  <c r="H67" i="3" s="1"/>
  <c r="G71" i="3"/>
  <c r="H71" i="3" s="1"/>
  <c r="G70" i="3"/>
  <c r="H70" i="3" s="1"/>
  <c r="G65" i="3"/>
  <c r="H65" i="3" s="1"/>
  <c r="D51" i="3"/>
  <c r="G62" i="3"/>
  <c r="H62" i="3" s="1"/>
  <c r="G64" i="3"/>
  <c r="H64" i="3" s="1"/>
  <c r="G68" i="3"/>
  <c r="H68" i="3" s="1"/>
  <c r="F125" i="6" l="1"/>
  <c r="G72" i="6"/>
  <c r="G74" i="6"/>
  <c r="C79" i="6"/>
  <c r="F70" i="6"/>
  <c r="F71" i="6" s="1"/>
  <c r="F72" i="6"/>
  <c r="G71" i="6"/>
  <c r="E117" i="3"/>
  <c r="F108" i="3"/>
  <c r="F117" i="3" s="1"/>
  <c r="E115" i="3"/>
  <c r="E116" i="3" s="1"/>
  <c r="G72" i="3"/>
  <c r="G73" i="3" s="1"/>
  <c r="G74" i="3"/>
  <c r="H74" i="3"/>
  <c r="F115" i="3" l="1"/>
  <c r="F116" i="3" s="1"/>
  <c r="G76" i="3"/>
  <c r="H73" i="3"/>
  <c r="G120" i="3" l="1"/>
</calcChain>
</file>

<file path=xl/sharedStrings.xml><?xml version="1.0" encoding="utf-8"?>
<sst xmlns="http://schemas.openxmlformats.org/spreadsheetml/2006/main" count="422" uniqueCount="155">
  <si>
    <t>HPLC System Suitability Report</t>
  </si>
  <si>
    <t>Analysis Data</t>
  </si>
  <si>
    <t>Assay</t>
  </si>
  <si>
    <t>Sample(s)</t>
  </si>
  <si>
    <t>Reference Substance:</t>
  </si>
  <si>
    <t>Mariprist Tablets</t>
  </si>
  <si>
    <t>% age Purity:</t>
  </si>
  <si>
    <t>NDQD201512572</t>
  </si>
  <si>
    <t>Weight (mg):</t>
  </si>
  <si>
    <t>Mifepristone, Misoprostol</t>
  </si>
  <si>
    <t>Standard Conc (mg/mL):</t>
  </si>
  <si>
    <t>Each 1 Mifepristone tablet contains 200 mg, 1 tablet Misopristol tablet contains 200 mcg</t>
  </si>
  <si>
    <t>2016-03-21 10:01:25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</si>
  <si>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</si>
  <si>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</si>
  <si>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</si>
  <si>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</si>
  <si>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</si>
  <si>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</si>
  <si>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</si>
  <si>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</si>
  <si>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</si>
  <si>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</si>
  <si>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</si>
  <si>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</si>
  <si>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</si>
  <si>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</si>
  <si>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</si>
  <si>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</si>
  <si>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</si>
  <si>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</si>
  <si>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</si>
  <si>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</si>
  <si>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</si>
  <si>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</si>
  <si>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</si>
  <si>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</si>
  <si>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</si>
  <si>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</si>
  <si>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</si>
  <si>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</si>
  <si>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</si>
  <si>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</si>
  <si>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</si>
  <si>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</si>
  <si>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</si>
  <si>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</si>
  <si>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</si>
  <si>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</si>
  <si>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</si>
  <si>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</si>
  <si>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</si>
  <si>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</si>
  <si>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</si>
  <si>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</si>
  <si>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</si>
  <si>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</si>
  <si>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</si>
  <si>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</si>
  <si>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</si>
  <si>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</si>
  <si>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</si>
  <si>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</si>
  <si>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</si>
  <si>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</si>
  <si>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</si>
  <si>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</si>
  <si>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</si>
  <si>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</si>
  <si>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</si>
  <si>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</si>
  <si>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</si>
  <si>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</si>
  <si>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</si>
  <si>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</si>
  <si>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</si>
  <si>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</si>
  <si>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</si>
  <si>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</si>
  <si>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</si>
  <si>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</si>
  <si>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</si>
  <si>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</si>
  <si>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</si>
  <si>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</si>
  <si>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</si>
  <si>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</si>
  <si>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</si>
  <si>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</si>
  <si>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</si>
  <si>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</si>
  <si>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</si>
  <si>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</si>
  <si>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</si>
  <si>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</si>
  <si>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</si>
  <si>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</si>
  <si>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</si>
  <si>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</si>
  <si>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</si>
  <si>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</si>
  <si>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</si>
  <si>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</si>
  <si>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</si>
  <si>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</si>
  <si>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</si>
  <si>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</si>
  <si>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</si>
  <si>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</si>
  <si>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</si>
  <si>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</si>
  <si>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</si>
  <si>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</si>
  <si>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</si>
  <si>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</si>
  <si>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</si>
  <si>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</si>
  <si>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</si>
  <si>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</si>
  <si>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</si>
  <si>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</si>
  <si>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</si>
  <si>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</si>
  <si>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If correction for water content is NOT needed, enter 0</t>
  </si>
  <si>
    <t>Initial Standard dilution (mL):</t>
  </si>
  <si>
    <t>Desired Concetration (mg/mL):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</si>
  <si>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</si>
  <si>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</si>
  <si>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</si>
  <si>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</si>
  <si>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</si>
  <si>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</si>
  <si>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</si>
  <si>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</si>
  <si>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</si>
  <si>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</si>
  <si>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</si>
  <si>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</si>
  <si>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</si>
  <si>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</si>
  <si>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</si>
  <si>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</si>
  <si>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MIFEPRISTONE</t>
  </si>
  <si>
    <t>M42-1</t>
  </si>
  <si>
    <t>MISOPROSTOL</t>
  </si>
  <si>
    <t>Joyfrida</t>
  </si>
  <si>
    <t>28th June 2016</t>
  </si>
  <si>
    <t>MISOPROSTOL Tablets</t>
  </si>
  <si>
    <t>Each Mifepristone tablet contains 200 mg, Each Misoprostol tablet contains 200 mcg</t>
  </si>
  <si>
    <t>MIFEPRISTONE Tablets</t>
  </si>
  <si>
    <t>Average Tablet Weight (mg):</t>
  </si>
  <si>
    <t>3rd May 2016</t>
  </si>
  <si>
    <t>Determination</t>
  </si>
  <si>
    <t>Mifepristone</t>
  </si>
  <si>
    <t>M26-1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</si>
</sst>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\ &quot;%&quot;"/>
    <numFmt numFmtId="174" formatCode="0.0"/>
    <numFmt numFmtId="175" formatCode="0.0000000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7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5" fillId="2" borderId="0"/>
  </cellStyleXfs>
  <cellXfs count="5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9" xfId="0" applyFont="1" applyFill="1" applyBorder="1"/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0" fontId="5" fillId="2" borderId="12" xfId="0" applyFont="1" applyFill="1" applyBorder="1" applyAlignment="1">
      <alignment horizontal="center"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0" fontId="14" fillId="3" borderId="0" xfId="0" applyFont="1" applyFill="1" applyProtection="1">
      <protection locked="0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25" fillId="2" borderId="0" xfId="1" applyFill="1"/>
    <xf numFmtId="0" fontId="11" fillId="2" borderId="11" xfId="1" applyFont="1" applyFill="1" applyBorder="1"/>
    <xf numFmtId="0" fontId="11" fillId="2" borderId="0" xfId="1" applyFont="1" applyFill="1"/>
    <xf numFmtId="0" fontId="12" fillId="2" borderId="11" xfId="1" applyFont="1" applyFill="1" applyBorder="1"/>
    <xf numFmtId="0" fontId="12" fillId="2" borderId="0" xfId="1" applyFont="1" applyFill="1" applyAlignment="1">
      <alignment horizontal="right"/>
    </xf>
    <xf numFmtId="0" fontId="11" fillId="2" borderId="7" xfId="1" applyFont="1" applyFill="1" applyBorder="1"/>
    <xf numFmtId="0" fontId="12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9" xfId="1" applyFont="1" applyFill="1" applyBorder="1"/>
    <xf numFmtId="0" fontId="19" fillId="2" borderId="9" xfId="1" applyFont="1" applyFill="1" applyBorder="1" applyAlignment="1">
      <alignment horizontal="left" vertical="center" wrapText="1"/>
    </xf>
    <xf numFmtId="165" fontId="12" fillId="2" borderId="0" xfId="1" applyNumberFormat="1" applyFont="1" applyFill="1" applyAlignment="1">
      <alignment horizontal="center"/>
    </xf>
    <xf numFmtId="0" fontId="11" fillId="2" borderId="0" xfId="1" applyFont="1" applyFill="1" applyAlignment="1">
      <alignment horizontal="right"/>
    </xf>
    <xf numFmtId="0" fontId="11" fillId="2" borderId="0" xfId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0" fontId="13" fillId="7" borderId="17" xfId="1" applyFont="1" applyFill="1" applyBorder="1" applyAlignment="1">
      <alignment horizontal="center"/>
    </xf>
    <xf numFmtId="0" fontId="11" fillId="2" borderId="56" xfId="1" applyFont="1" applyFill="1" applyBorder="1" applyAlignment="1">
      <alignment horizontal="right"/>
    </xf>
    <xf numFmtId="0" fontId="11" fillId="2" borderId="63" xfId="1" applyFont="1" applyFill="1" applyBorder="1" applyAlignment="1">
      <alignment horizontal="center"/>
    </xf>
    <xf numFmtId="0" fontId="11" fillId="2" borderId="4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6" xfId="1" applyFont="1" applyFill="1" applyBorder="1"/>
    <xf numFmtId="0" fontId="11" fillId="2" borderId="23" xfId="1" applyFont="1" applyFill="1" applyBorder="1"/>
    <xf numFmtId="0" fontId="11" fillId="2" borderId="24" xfId="1" applyFont="1" applyFill="1" applyBorder="1" applyAlignment="1">
      <alignment horizontal="center"/>
    </xf>
    <xf numFmtId="0" fontId="11" fillId="2" borderId="23" xfId="1" applyFont="1" applyFill="1" applyBorder="1" applyAlignment="1">
      <alignment horizontal="right"/>
    </xf>
    <xf numFmtId="10" fontId="13" fillId="7" borderId="27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171" fontId="12" fillId="2" borderId="0" xfId="1" applyNumberFormat="1" applyFont="1" applyFill="1" applyAlignment="1">
      <alignment horizontal="center"/>
    </xf>
    <xf numFmtId="0" fontId="11" fillId="2" borderId="23" xfId="1" applyFont="1" applyFill="1" applyBorder="1" applyAlignment="1">
      <alignment horizontal="center"/>
    </xf>
    <xf numFmtId="0" fontId="13" fillId="3" borderId="24" xfId="1" applyFont="1" applyFill="1" applyBorder="1" applyAlignment="1" applyProtection="1">
      <alignment horizontal="center"/>
      <protection locked="0"/>
    </xf>
    <xf numFmtId="2" fontId="11" fillId="2" borderId="24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2" fillId="2" borderId="55" xfId="1" applyFont="1" applyFill="1" applyBorder="1"/>
    <xf numFmtId="0" fontId="12" fillId="2" borderId="54" xfId="1" applyFont="1" applyFill="1" applyBorder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1" xfId="1" applyFont="1" applyFill="1" applyBorder="1" applyAlignment="1">
      <alignment horizontal="right"/>
    </xf>
    <xf numFmtId="0" fontId="3" fillId="2" borderId="0" xfId="1" applyFont="1" applyFill="1"/>
    <xf numFmtId="0" fontId="2" fillId="2" borderId="0" xfId="1" applyFont="1" applyFill="1"/>
    <xf numFmtId="171" fontId="11" fillId="2" borderId="0" xfId="1" applyNumberFormat="1" applyFont="1" applyFill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10" fontId="12" fillId="6" borderId="41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2" fontId="2" fillId="2" borderId="0" xfId="1" applyNumberFormat="1" applyFont="1" applyFill="1" applyAlignment="1">
      <alignment horizontal="center"/>
    </xf>
    <xf numFmtId="171" fontId="12" fillId="7" borderId="16" xfId="1" applyNumberFormat="1" applyFont="1" applyFill="1" applyBorder="1" applyAlignment="1">
      <alignment horizontal="center"/>
    </xf>
    <xf numFmtId="0" fontId="11" fillId="2" borderId="16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1" fillId="2" borderId="53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2" fontId="11" fillId="6" borderId="27" xfId="1" applyNumberFormat="1" applyFont="1" applyFill="1" applyBorder="1" applyAlignment="1">
      <alignment horizontal="center"/>
    </xf>
    <xf numFmtId="0" fontId="11" fillId="2" borderId="25" xfId="1" applyFont="1" applyFill="1" applyBorder="1" applyAlignment="1">
      <alignment horizontal="right"/>
    </xf>
    <xf numFmtId="166" fontId="11" fillId="7" borderId="27" xfId="1" applyNumberFormat="1" applyFont="1" applyFill="1" applyBorder="1" applyAlignment="1">
      <alignment horizontal="center"/>
    </xf>
    <xf numFmtId="0" fontId="11" fillId="2" borderId="64" xfId="1" applyFont="1" applyFill="1" applyBorder="1" applyAlignment="1">
      <alignment horizontal="right"/>
    </xf>
    <xf numFmtId="2" fontId="11" fillId="6" borderId="17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0" fontId="11" fillId="2" borderId="11" xfId="1" applyFont="1" applyFill="1" applyBorder="1" applyAlignment="1">
      <alignment horizontal="right"/>
    </xf>
    <xf numFmtId="2" fontId="11" fillId="7" borderId="41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2" fontId="11" fillId="6" borderId="41" xfId="1" applyNumberFormat="1" applyFont="1" applyFill="1" applyBorder="1" applyAlignment="1">
      <alignment horizontal="center"/>
    </xf>
    <xf numFmtId="0" fontId="13" fillId="3" borderId="16" xfId="1" applyFont="1" applyFill="1" applyBorder="1" applyAlignment="1" applyProtection="1">
      <alignment horizontal="center"/>
      <protection locked="0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40" xfId="1" applyFont="1" applyFill="1" applyBorder="1" applyAlignment="1">
      <alignment horizontal="right"/>
    </xf>
    <xf numFmtId="171" fontId="12" fillId="6" borderId="15" xfId="1" applyNumberFormat="1" applyFont="1" applyFill="1" applyBorder="1" applyAlignment="1">
      <alignment horizontal="center"/>
    </xf>
    <xf numFmtId="171" fontId="12" fillId="6" borderId="50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0" fontId="11" fillId="2" borderId="24" xfId="1" applyFont="1" applyFill="1" applyBorder="1" applyAlignment="1">
      <alignment horizontal="right"/>
    </xf>
    <xf numFmtId="171" fontId="11" fillId="2" borderId="36" xfId="1" applyNumberFormat="1" applyFont="1" applyFill="1" applyBorder="1" applyAlignment="1">
      <alignment horizontal="center"/>
    </xf>
    <xf numFmtId="171" fontId="13" fillId="3" borderId="7" xfId="1" applyNumberFormat="1" applyFont="1" applyFill="1" applyBorder="1" applyAlignment="1" applyProtection="1">
      <alignment horizontal="center"/>
      <protection locked="0"/>
    </xf>
    <xf numFmtId="171" fontId="11" fillId="2" borderId="5" xfId="1" applyNumberFormat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0" fontId="11" fillId="2" borderId="33" xfId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171" fontId="11" fillId="2" borderId="3" xfId="1" applyNumberFormat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/>
      <protection locked="0"/>
    </xf>
    <xf numFmtId="171" fontId="11" fillId="2" borderId="30" xfId="1" applyNumberFormat="1" applyFont="1" applyFill="1" applyBorder="1" applyAlignment="1">
      <alignment horizontal="center"/>
    </xf>
    <xf numFmtId="0" fontId="13" fillId="3" borderId="48" xfId="1" applyFont="1" applyFill="1" applyBorder="1" applyAlignment="1" applyProtection="1">
      <alignment horizontal="center"/>
      <protection locked="0"/>
    </xf>
    <xf numFmtId="171" fontId="11" fillId="2" borderId="4" xfId="1" applyNumberFormat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0" fontId="11" fillId="2" borderId="28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3" fillId="2" borderId="0" xfId="1" applyFont="1" applyFill="1" applyAlignment="1">
      <alignment horizontal="left"/>
    </xf>
    <xf numFmtId="170" fontId="12" fillId="2" borderId="0" xfId="1" applyNumberFormat="1" applyFont="1" applyFill="1" applyAlignment="1">
      <alignment horizontal="center"/>
    </xf>
    <xf numFmtId="2" fontId="12" fillId="2" borderId="0" xfId="1" applyNumberFormat="1" applyFont="1" applyFill="1" applyAlignment="1">
      <alignment horizontal="center"/>
    </xf>
    <xf numFmtId="2" fontId="13" fillId="3" borderId="0" xfId="1" applyNumberFormat="1" applyFont="1" applyFill="1" applyAlignment="1" applyProtection="1">
      <alignment horizontal="center"/>
      <protection locked="0"/>
    </xf>
    <xf numFmtId="0" fontId="17" fillId="2" borderId="0" xfId="1" applyFont="1" applyFill="1"/>
    <xf numFmtId="0" fontId="16" fillId="2" borderId="0" xfId="1" applyFont="1" applyFill="1"/>
    <xf numFmtId="0" fontId="12" fillId="2" borderId="0" xfId="1" applyFont="1" applyFill="1" applyAlignment="1">
      <alignment horizontal="center"/>
    </xf>
    <xf numFmtId="0" fontId="12" fillId="2" borderId="0" xfId="1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horizontal="left"/>
    </xf>
    <xf numFmtId="0" fontId="6" fillId="2" borderId="0" xfId="1" applyFont="1" applyFill="1"/>
    <xf numFmtId="1" fontId="12" fillId="6" borderId="1" xfId="1" applyNumberFormat="1" applyFont="1" applyFill="1" applyBorder="1" applyAlignment="1">
      <alignment horizontal="center"/>
    </xf>
    <xf numFmtId="0" fontId="11" fillId="2" borderId="1" xfId="1" applyFont="1" applyFill="1" applyBorder="1" applyAlignment="1">
      <alignment horizontal="right"/>
    </xf>
    <xf numFmtId="2" fontId="11" fillId="2" borderId="1" xfId="1" applyNumberFormat="1" applyFont="1" applyFill="1" applyBorder="1" applyAlignment="1">
      <alignment horizontal="center"/>
    </xf>
    <xf numFmtId="0" fontId="14" fillId="3" borderId="1" xfId="1" applyFont="1" applyFill="1" applyBorder="1" applyAlignment="1" applyProtection="1">
      <alignment horizontal="center"/>
      <protection locked="0"/>
    </xf>
    <xf numFmtId="0" fontId="12" fillId="2" borderId="0" xfId="1" applyFont="1" applyFill="1" applyAlignment="1">
      <alignment horizontal="left"/>
    </xf>
    <xf numFmtId="173" fontId="12" fillId="2" borderId="0" xfId="1" applyNumberFormat="1" applyFont="1" applyFill="1" applyAlignment="1">
      <alignment horizontal="center"/>
    </xf>
    <xf numFmtId="0" fontId="6" fillId="2" borderId="0" xfId="1" applyFont="1" applyFill="1" applyAlignment="1">
      <alignment horizontal="center"/>
    </xf>
    <xf numFmtId="10" fontId="12" fillId="2" borderId="0" xfId="1" applyNumberFormat="1" applyFont="1" applyFill="1" applyAlignment="1">
      <alignment horizontal="center"/>
    </xf>
    <xf numFmtId="10" fontId="12" fillId="2" borderId="9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center"/>
    </xf>
    <xf numFmtId="10" fontId="12" fillId="6" borderId="27" xfId="1" applyNumberFormat="1" applyFont="1" applyFill="1" applyBorder="1" applyAlignment="1">
      <alignment horizontal="center"/>
    </xf>
    <xf numFmtId="2" fontId="13" fillId="5" borderId="27" xfId="1" applyNumberFormat="1" applyFont="1" applyFill="1" applyBorder="1" applyAlignment="1">
      <alignment horizontal="center"/>
    </xf>
    <xf numFmtId="2" fontId="12" fillId="5" borderId="27" xfId="1" applyNumberFormat="1" applyFont="1" applyFill="1" applyBorder="1" applyAlignment="1">
      <alignment horizontal="center"/>
    </xf>
    <xf numFmtId="0" fontId="11" fillId="2" borderId="24" xfId="1" applyFont="1" applyFill="1" applyBorder="1"/>
    <xf numFmtId="2" fontId="11" fillId="2" borderId="44" xfId="1" applyNumberFormat="1" applyFont="1" applyFill="1" applyBorder="1" applyAlignment="1">
      <alignment horizontal="center"/>
    </xf>
    <xf numFmtId="2" fontId="11" fillId="2" borderId="61" xfId="1" applyNumberFormat="1" applyFont="1" applyFill="1" applyBorder="1" applyAlignment="1">
      <alignment horizontal="center"/>
    </xf>
    <xf numFmtId="0" fontId="14" fillId="3" borderId="61" xfId="1" applyFont="1" applyFill="1" applyBorder="1" applyAlignment="1" applyProtection="1">
      <alignment horizontal="center" wrapText="1"/>
      <protection locked="0"/>
    </xf>
    <xf numFmtId="2" fontId="11" fillId="2" borderId="3" xfId="1" applyNumberFormat="1" applyFont="1" applyFill="1" applyBorder="1" applyAlignment="1">
      <alignment horizontal="center"/>
    </xf>
    <xf numFmtId="0" fontId="14" fillId="3" borderId="3" xfId="1" applyFont="1" applyFill="1" applyBorder="1" applyAlignment="1" applyProtection="1">
      <alignment horizontal="center" wrapText="1"/>
      <protection locked="0"/>
    </xf>
    <xf numFmtId="0" fontId="11" fillId="2" borderId="39" xfId="1" applyFont="1" applyFill="1" applyBorder="1" applyAlignment="1">
      <alignment horizontal="center"/>
    </xf>
    <xf numFmtId="0" fontId="13" fillId="3" borderId="32" xfId="1" applyFont="1" applyFill="1" applyBorder="1" applyAlignment="1" applyProtection="1">
      <alignment horizontal="center"/>
      <protection locked="0"/>
    </xf>
    <xf numFmtId="2" fontId="11" fillId="2" borderId="28" xfId="1" applyNumberFormat="1" applyFont="1" applyFill="1" applyBorder="1" applyAlignment="1">
      <alignment horizontal="center"/>
    </xf>
    <xf numFmtId="2" fontId="11" fillId="2" borderId="4" xfId="1" applyNumberFormat="1" applyFont="1" applyFill="1" applyBorder="1" applyAlignment="1">
      <alignment horizontal="center"/>
    </xf>
    <xf numFmtId="0" fontId="14" fillId="3" borderId="4" xfId="1" applyFont="1" applyFill="1" applyBorder="1" applyAlignment="1" applyProtection="1">
      <alignment horizontal="center" wrapText="1"/>
      <protection locked="0"/>
    </xf>
    <xf numFmtId="0" fontId="11" fillId="2" borderId="29" xfId="1" applyFont="1" applyFill="1" applyBorder="1" applyAlignment="1">
      <alignment horizontal="center"/>
    </xf>
    <xf numFmtId="0" fontId="12" fillId="7" borderId="22" xfId="1" applyFont="1" applyFill="1" applyBorder="1" applyAlignment="1">
      <alignment horizontal="center" wrapText="1"/>
    </xf>
    <xf numFmtId="0" fontId="12" fillId="7" borderId="55" xfId="1" applyFont="1" applyFill="1" applyBorder="1" applyAlignment="1">
      <alignment horizontal="center" wrapText="1"/>
    </xf>
    <xf numFmtId="0" fontId="12" fillId="7" borderId="10" xfId="1" applyFont="1" applyFill="1" applyBorder="1" applyAlignment="1">
      <alignment horizontal="center"/>
    </xf>
    <xf numFmtId="0" fontId="12" fillId="7" borderId="54" xfId="1" applyFont="1" applyFill="1" applyBorder="1" applyAlignment="1">
      <alignment horizontal="center"/>
    </xf>
    <xf numFmtId="0" fontId="12" fillId="2" borderId="60" xfId="1" applyFont="1" applyFill="1" applyBorder="1" applyAlignment="1">
      <alignment horizontal="center"/>
    </xf>
    <xf numFmtId="0" fontId="13" fillId="3" borderId="59" xfId="1" applyFont="1" applyFill="1" applyBorder="1" applyAlignment="1" applyProtection="1">
      <alignment horizontal="center"/>
      <protection locked="0"/>
    </xf>
    <xf numFmtId="0" fontId="4" fillId="2" borderId="0" xfId="1" applyFont="1" applyFill="1"/>
    <xf numFmtId="171" fontId="12" fillId="6" borderId="39" xfId="1" applyNumberFormat="1" applyFont="1" applyFill="1" applyBorder="1" applyAlignment="1">
      <alignment horizontal="center"/>
    </xf>
    <xf numFmtId="1" fontId="12" fillId="6" borderId="37" xfId="1" applyNumberFormat="1" applyFont="1" applyFill="1" applyBorder="1" applyAlignment="1">
      <alignment horizontal="center"/>
    </xf>
    <xf numFmtId="171" fontId="11" fillId="2" borderId="35" xfId="1" applyNumberFormat="1" applyFont="1" applyFill="1" applyBorder="1" applyAlignment="1">
      <alignment horizontal="center"/>
    </xf>
    <xf numFmtId="171" fontId="11" fillId="2" borderId="31" xfId="1" applyNumberFormat="1" applyFont="1" applyFill="1" applyBorder="1" applyAlignment="1">
      <alignment horizontal="center"/>
    </xf>
    <xf numFmtId="171" fontId="11" fillId="2" borderId="26" xfId="1" applyNumberFormat="1" applyFont="1" applyFill="1" applyBorder="1" applyAlignment="1">
      <alignment horizontal="center"/>
    </xf>
    <xf numFmtId="0" fontId="18" fillId="2" borderId="0" xfId="1" applyFont="1" applyFill="1"/>
    <xf numFmtId="0" fontId="14" fillId="3" borderId="0" xfId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12" fillId="2" borderId="0" xfId="1" applyFont="1" applyFill="1"/>
    <xf numFmtId="0" fontId="14" fillId="2" borderId="0" xfId="1" applyFont="1" applyFill="1"/>
    <xf numFmtId="0" fontId="11" fillId="3" borderId="0" xfId="1" applyFont="1" applyFill="1" applyProtection="1">
      <protection locked="0"/>
    </xf>
    <xf numFmtId="0" fontId="14" fillId="3" borderId="0" xfId="1" applyFont="1" applyFill="1" applyProtection="1">
      <protection locked="0"/>
    </xf>
    <xf numFmtId="0" fontId="12" fillId="3" borderId="0" xfId="1" applyFont="1" applyFill="1" applyAlignment="1" applyProtection="1">
      <alignment horizontal="left"/>
      <protection locked="0"/>
    </xf>
    <xf numFmtId="0" fontId="26" fillId="2" borderId="7" xfId="0" applyFont="1" applyFill="1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164" fontId="5" fillId="2" borderId="12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wrapText="1"/>
    </xf>
    <xf numFmtId="10" fontId="6" fillId="2" borderId="65" xfId="0" applyNumberFormat="1" applyFont="1" applyFill="1" applyBorder="1" applyAlignment="1">
      <alignment horizontal="center"/>
    </xf>
    <xf numFmtId="10" fontId="6" fillId="2" borderId="66" xfId="0" applyNumberFormat="1" applyFont="1" applyFill="1" applyBorder="1" applyAlignment="1">
      <alignment horizontal="center"/>
    </xf>
    <xf numFmtId="10" fontId="6" fillId="2" borderId="67" xfId="0" applyNumberFormat="1" applyFont="1" applyFill="1" applyBorder="1" applyAlignment="1">
      <alignment horizontal="center"/>
    </xf>
    <xf numFmtId="2" fontId="6" fillId="3" borderId="0" xfId="0" applyNumberFormat="1" applyFont="1" applyFill="1" applyBorder="1" applyAlignment="1" applyProtection="1">
      <alignment horizontal="center" vertical="center"/>
      <protection locked="0"/>
    </xf>
    <xf numFmtId="2" fontId="6" fillId="3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65" xfId="0" applyFont="1" applyFill="1" applyBorder="1" applyAlignment="1">
      <alignment horizontal="center"/>
    </xf>
    <xf numFmtId="0" fontId="1" fillId="2" borderId="66" xfId="0" applyFont="1" applyFill="1" applyBorder="1" applyAlignment="1">
      <alignment horizontal="center"/>
    </xf>
    <xf numFmtId="0" fontId="1" fillId="2" borderId="67" xfId="0" applyFont="1" applyFill="1" applyBorder="1" applyAlignment="1">
      <alignment horizontal="center"/>
    </xf>
    <xf numFmtId="167" fontId="6" fillId="2" borderId="0" xfId="0" applyNumberFormat="1" applyFont="1" applyFill="1" applyAlignment="1">
      <alignment horizontal="left"/>
    </xf>
    <xf numFmtId="174" fontId="5" fillId="4" borderId="1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66" fontId="5" fillId="2" borderId="12" xfId="0" applyNumberFormat="1" applyFont="1" applyFill="1" applyBorder="1" applyAlignment="1">
      <alignment horizontal="center" vertical="center"/>
    </xf>
    <xf numFmtId="171" fontId="6" fillId="2" borderId="12" xfId="0" applyNumberFormat="1" applyFont="1" applyFill="1" applyBorder="1" applyAlignment="1">
      <alignment horizontal="center" vertical="center"/>
    </xf>
    <xf numFmtId="171" fontId="5" fillId="2" borderId="12" xfId="0" applyNumberFormat="1" applyFont="1" applyFill="1" applyBorder="1" applyAlignment="1">
      <alignment horizontal="center" vertical="center"/>
    </xf>
    <xf numFmtId="174" fontId="7" fillId="3" borderId="3" xfId="0" applyNumberFormat="1" applyFont="1" applyFill="1" applyBorder="1" applyAlignment="1" applyProtection="1">
      <alignment horizontal="center"/>
      <protection locked="0"/>
    </xf>
    <xf numFmtId="174" fontId="7" fillId="3" borderId="5" xfId="0" applyNumberFormat="1" applyFont="1" applyFill="1" applyBorder="1" applyAlignment="1" applyProtection="1">
      <alignment horizontal="center"/>
      <protection locked="0"/>
    </xf>
    <xf numFmtId="175" fontId="5" fillId="2" borderId="0" xfId="0" applyNumberFormat="1" applyFont="1" applyFill="1" applyAlignment="1">
      <alignment horizontal="center"/>
    </xf>
    <xf numFmtId="2" fontId="13" fillId="3" borderId="16" xfId="1" applyNumberFormat="1" applyFont="1" applyFill="1" applyBorder="1" applyAlignment="1" applyProtection="1">
      <alignment horizontal="center"/>
      <protection locked="0"/>
    </xf>
    <xf numFmtId="0" fontId="13" fillId="3" borderId="31" xfId="1" applyFont="1" applyFill="1" applyBorder="1" applyAlignment="1" applyProtection="1">
      <alignment horizontal="center"/>
      <protection locked="0"/>
    </xf>
    <xf numFmtId="0" fontId="11" fillId="2" borderId="38" xfId="1" applyFont="1" applyFill="1" applyBorder="1" applyAlignment="1">
      <alignment horizontal="center"/>
    </xf>
    <xf numFmtId="0" fontId="13" fillId="3" borderId="58" xfId="1" applyFont="1" applyFill="1" applyBorder="1" applyAlignment="1" applyProtection="1">
      <alignment horizontal="center"/>
      <protection locked="0"/>
    </xf>
    <xf numFmtId="2" fontId="11" fillId="6" borderId="57" xfId="1" applyNumberFormat="1" applyFont="1" applyFill="1" applyBorder="1" applyAlignment="1">
      <alignment horizontal="center"/>
    </xf>
    <xf numFmtId="2" fontId="11" fillId="7" borderId="57" xfId="1" applyNumberFormat="1" applyFont="1" applyFill="1" applyBorder="1" applyAlignment="1">
      <alignment horizontal="center"/>
    </xf>
    <xf numFmtId="0" fontId="13" fillId="3" borderId="57" xfId="1" applyFont="1" applyFill="1" applyBorder="1" applyAlignment="1" applyProtection="1">
      <alignment horizontal="center"/>
      <protection locked="0"/>
    </xf>
    <xf numFmtId="2" fontId="11" fillId="6" borderId="44" xfId="1" applyNumberFormat="1" applyFont="1" applyFill="1" applyBorder="1" applyAlignment="1">
      <alignment horizontal="center"/>
    </xf>
    <xf numFmtId="171" fontId="12" fillId="7" borderId="22" xfId="1" applyNumberFormat="1" applyFont="1" applyFill="1" applyBorder="1" applyAlignment="1">
      <alignment horizontal="center"/>
    </xf>
    <xf numFmtId="10" fontId="11" fillId="6" borderId="57" xfId="1" applyNumberFormat="1" applyFont="1" applyFill="1" applyBorder="1" applyAlignment="1">
      <alignment horizontal="center"/>
    </xf>
    <xf numFmtId="0" fontId="11" fillId="7" borderId="44" xfId="1" applyFont="1" applyFill="1" applyBorder="1" applyAlignment="1">
      <alignment horizontal="center"/>
    </xf>
    <xf numFmtId="0" fontId="11" fillId="2" borderId="68" xfId="1" applyFont="1" applyFill="1" applyBorder="1" applyAlignment="1">
      <alignment horizontal="right"/>
    </xf>
    <xf numFmtId="0" fontId="11" fillId="2" borderId="69" xfId="1" applyFont="1" applyFill="1" applyBorder="1" applyAlignment="1">
      <alignment horizontal="right"/>
    </xf>
    <xf numFmtId="0" fontId="11" fillId="2" borderId="70" xfId="1" applyFont="1" applyFill="1" applyBorder="1" applyAlignment="1">
      <alignment horizontal="right"/>
    </xf>
    <xf numFmtId="0" fontId="11" fillId="2" borderId="66" xfId="1" applyFont="1" applyFill="1" applyBorder="1" applyAlignment="1">
      <alignment horizontal="right"/>
    </xf>
    <xf numFmtId="0" fontId="11" fillId="2" borderId="71" xfId="1" applyFont="1" applyFill="1" applyBorder="1" applyAlignment="1">
      <alignment horizontal="right"/>
    </xf>
    <xf numFmtId="0" fontId="11" fillId="2" borderId="67" xfId="1" applyFont="1" applyFill="1" applyBorder="1" applyAlignment="1">
      <alignment horizontal="righ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66" fontId="11" fillId="2" borderId="38" xfId="1" applyNumberFormat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166" fontId="12" fillId="5" borderId="27" xfId="1" applyNumberFormat="1" applyFont="1" applyFill="1" applyBorder="1" applyAlignment="1">
      <alignment horizontal="center"/>
    </xf>
    <xf numFmtId="1" fontId="12" fillId="5" borderId="62" xfId="1" applyNumberFormat="1" applyFont="1" applyFill="1" applyBorder="1" applyAlignment="1">
      <alignment horizontal="center"/>
    </xf>
    <xf numFmtId="1" fontId="13" fillId="5" borderId="62" xfId="1" applyNumberFormat="1" applyFont="1" applyFill="1" applyBorder="1" applyAlignment="1">
      <alignment horizontal="center"/>
    </xf>
    <xf numFmtId="1" fontId="13" fillId="3" borderId="0" xfId="1" applyNumberFormat="1" applyFont="1" applyFill="1" applyAlignment="1" applyProtection="1">
      <alignment horizontal="center"/>
      <protection locked="0"/>
    </xf>
    <xf numFmtId="175" fontId="11" fillId="6" borderId="27" xfId="1" applyNumberFormat="1" applyFont="1" applyFill="1" applyBorder="1" applyAlignment="1">
      <alignment horizontal="center"/>
    </xf>
    <xf numFmtId="175" fontId="11" fillId="6" borderId="17" xfId="1" applyNumberFormat="1" applyFont="1" applyFill="1" applyBorder="1" applyAlignment="1">
      <alignment horizontal="center"/>
    </xf>
    <xf numFmtId="2" fontId="6" fillId="2" borderId="0" xfId="1" applyNumberFormat="1" applyFont="1" applyFill="1"/>
    <xf numFmtId="1" fontId="13" fillId="3" borderId="31" xfId="1" applyNumberFormat="1" applyFont="1" applyFill="1" applyBorder="1" applyAlignment="1" applyProtection="1">
      <alignment horizontal="center"/>
      <protection locked="0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0" fontId="5" fillId="2" borderId="0" xfId="0" applyFont="1" applyFill="1" applyAlignment="1">
      <alignment horizontal="right" vertical="top"/>
    </xf>
    <xf numFmtId="0" fontId="6" fillId="2" borderId="0" xfId="0" applyFont="1" applyFill="1" applyAlignment="1">
      <alignment horizontal="left" wrapText="1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2" fillId="2" borderId="10" xfId="1" applyFont="1" applyFill="1" applyBorder="1" applyAlignment="1">
      <alignment horizont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2" xfId="1" applyFont="1" applyFill="1" applyBorder="1" applyAlignment="1">
      <alignment horizontal="center"/>
    </xf>
    <xf numFmtId="0" fontId="12" fillId="2" borderId="64" xfId="1" applyFont="1" applyFill="1" applyBorder="1" applyAlignment="1">
      <alignment horizontal="center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166" fontId="13" fillId="3" borderId="23" xfId="0" applyNumberFormat="1" applyFont="1" applyFill="1" applyBorder="1" applyAlignment="1" applyProtection="1">
      <alignment horizontal="center"/>
      <protection locked="0"/>
    </xf>
    <xf numFmtId="166" fontId="11" fillId="2" borderId="30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66" fontId="11" fillId="2" borderId="36" xfId="0" applyNumberFormat="1" applyFont="1" applyFill="1" applyBorder="1" applyAlignment="1">
      <alignment horizontal="center"/>
    </xf>
    <xf numFmtId="166" fontId="12" fillId="6" borderId="39" xfId="0" applyNumberFormat="1" applyFont="1" applyFill="1" applyBorder="1" applyAlignment="1">
      <alignment horizontal="center"/>
    </xf>
    <xf numFmtId="166" fontId="12" fillId="6" borderId="38" xfId="0" applyNumberFormat="1" applyFont="1" applyFill="1" applyBorder="1" applyAlignment="1">
      <alignment horizontal="center"/>
    </xf>
    <xf numFmtId="164" fontId="12" fillId="6" borderId="37" xfId="0" applyNumberFormat="1" applyFont="1" applyFill="1" applyBorder="1" applyAlignment="1">
      <alignment horizontal="center"/>
    </xf>
    <xf numFmtId="164" fontId="12" fillId="7" borderId="13" xfId="0" applyNumberFormat="1" applyFont="1" applyFill="1" applyBorder="1" applyAlignment="1">
      <alignment horizontal="center"/>
    </xf>
    <xf numFmtId="166" fontId="13" fillId="3" borderId="29" xfId="0" applyNumberFormat="1" applyFont="1" applyFill="1" applyBorder="1" applyAlignment="1" applyProtection="1">
      <alignment horizontal="center"/>
      <protection locked="0"/>
    </xf>
    <xf numFmtId="164" fontId="12" fillId="6" borderId="49" xfId="0" applyNumberFormat="1" applyFont="1" applyFill="1" applyBorder="1" applyAlignment="1">
      <alignment horizontal="center"/>
    </xf>
    <xf numFmtId="164" fontId="12" fillId="6" borderId="38" xfId="0" applyNumberFormat="1" applyFont="1" applyFill="1" applyBorder="1" applyAlignment="1">
      <alignment horizontal="center"/>
    </xf>
    <xf numFmtId="164" fontId="12" fillId="6" borderId="50" xfId="0" applyNumberFormat="1" applyFont="1" applyFill="1" applyBorder="1" applyAlignment="1">
      <alignment horizontal="center"/>
    </xf>
    <xf numFmtId="164" fontId="12" fillId="6" borderId="15" xfId="0" applyNumberFormat="1" applyFont="1" applyFill="1" applyBorder="1" applyAlignment="1">
      <alignment horizontal="center"/>
    </xf>
    <xf numFmtId="164" fontId="12" fillId="7" borderId="16" xfId="0" applyNumberFormat="1" applyFont="1" applyFill="1" applyBorder="1" applyAlignment="1">
      <alignment horizontal="center"/>
    </xf>
    <xf numFmtId="175" fontId="11" fillId="2" borderId="0" xfId="0" applyNumberFormat="1" applyFont="1" applyFill="1" applyAlignment="1">
      <alignment horizontal="center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171" fontId="11" fillId="2" borderId="73" xfId="0" applyNumberFormat="1" applyFont="1" applyFill="1" applyBorder="1" applyAlignment="1">
      <alignment horizontal="right"/>
    </xf>
    <xf numFmtId="0" fontId="11" fillId="2" borderId="74" xfId="0" applyFont="1" applyFill="1" applyBorder="1" applyAlignment="1">
      <alignment horizontal="right"/>
    </xf>
    <xf numFmtId="0" fontId="11" fillId="2" borderId="72" xfId="0" applyFont="1" applyFill="1" applyBorder="1" applyAlignment="1">
      <alignment horizontal="right"/>
    </xf>
    <xf numFmtId="2" fontId="13" fillId="7" borderId="76" xfId="0" applyNumberFormat="1" applyFont="1" applyFill="1" applyBorder="1" applyAlignment="1">
      <alignment horizontal="center"/>
    </xf>
    <xf numFmtId="10" fontId="13" fillId="6" borderId="76" xfId="0" applyNumberFormat="1" applyFont="1" applyFill="1" applyBorder="1" applyAlignment="1">
      <alignment horizontal="center"/>
    </xf>
    <xf numFmtId="0" fontId="13" fillId="7" borderId="75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16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5" workbookViewId="0">
      <selection activeCell="D50" sqref="D50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27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440" t="s">
        <v>0</v>
      </c>
      <c r="B15" s="440"/>
      <c r="C15" s="440"/>
      <c r="D15" s="440"/>
      <c r="E15" s="440"/>
    </row>
    <row r="16" spans="1:6" ht="16.5" customHeight="1" x14ac:dyDescent="0.3">
      <c r="A16" s="5" t="s">
        <v>1</v>
      </c>
      <c r="B16" s="386" t="s">
        <v>2</v>
      </c>
    </row>
    <row r="17" spans="1:6" ht="16.5" customHeight="1" x14ac:dyDescent="0.3">
      <c r="A17" s="6" t="s">
        <v>3</v>
      </c>
      <c r="B17" s="7" t="s">
        <v>5</v>
      </c>
      <c r="D17" s="7"/>
      <c r="E17" s="8"/>
    </row>
    <row r="18" spans="1:6" ht="16.5" customHeight="1" x14ac:dyDescent="0.3">
      <c r="A18" s="9" t="s">
        <v>4</v>
      </c>
      <c r="B18" s="118" t="str">
        <f>'MISOPROSTOL 2'!B26:C26</f>
        <v>MISOPROSTOL</v>
      </c>
      <c r="C18" s="8"/>
      <c r="D18" s="8"/>
      <c r="E18" s="8"/>
    </row>
    <row r="19" spans="1:6" ht="16.5" customHeight="1" x14ac:dyDescent="0.3">
      <c r="A19" s="9" t="s">
        <v>6</v>
      </c>
      <c r="B19" s="10">
        <f>'MISOPROSTOL 2'!B28</f>
        <v>98</v>
      </c>
      <c r="C19" s="8"/>
      <c r="D19" s="8"/>
      <c r="E19" s="8"/>
    </row>
    <row r="20" spans="1:6" ht="16.5" customHeight="1" x14ac:dyDescent="0.3">
      <c r="A20" s="6" t="s">
        <v>8</v>
      </c>
      <c r="B20" s="10">
        <f>'MISOPROSTOL 2'!D43</f>
        <v>19.43</v>
      </c>
      <c r="C20" s="8"/>
      <c r="D20" s="8"/>
      <c r="E20" s="8"/>
    </row>
    <row r="21" spans="1:6" ht="16.5" customHeight="1" x14ac:dyDescent="0.3">
      <c r="A21" s="6" t="s">
        <v>10</v>
      </c>
      <c r="B21" s="11">
        <f>B20/100*5/50</f>
        <v>1.9429999999999999E-2</v>
      </c>
      <c r="C21" s="8"/>
      <c r="D21" s="8"/>
      <c r="E21" s="8"/>
    </row>
    <row r="22" spans="1:6" ht="15.75" customHeight="1" x14ac:dyDescent="0.3">
      <c r="A22" s="8"/>
      <c r="B22" s="8"/>
      <c r="C22" s="8"/>
      <c r="D22" s="8"/>
      <c r="E22" s="8"/>
    </row>
    <row r="23" spans="1:6" ht="16.5" customHeight="1" x14ac:dyDescent="0.3">
      <c r="A23" s="12" t="s">
        <v>13</v>
      </c>
      <c r="B23" s="13" t="s">
        <v>14</v>
      </c>
      <c r="C23" s="12" t="s">
        <v>15</v>
      </c>
      <c r="D23" s="12" t="s">
        <v>16</v>
      </c>
      <c r="E23" s="14" t="s">
        <v>17</v>
      </c>
    </row>
    <row r="24" spans="1:6" ht="16.5" customHeight="1" x14ac:dyDescent="0.3">
      <c r="A24" s="15">
        <v>1</v>
      </c>
      <c r="B24" s="16">
        <v>6557122</v>
      </c>
      <c r="C24" s="16">
        <v>5774.9</v>
      </c>
      <c r="D24" s="405">
        <v>1</v>
      </c>
      <c r="E24" s="18">
        <v>5.3</v>
      </c>
    </row>
    <row r="25" spans="1:6" ht="16.5" customHeight="1" x14ac:dyDescent="0.3">
      <c r="A25" s="15">
        <v>2</v>
      </c>
      <c r="B25" s="16">
        <v>6550355</v>
      </c>
      <c r="C25" s="16">
        <v>5787.3</v>
      </c>
      <c r="D25" s="405">
        <v>1</v>
      </c>
      <c r="E25" s="17">
        <v>5.3</v>
      </c>
    </row>
    <row r="26" spans="1:6" ht="16.5" customHeight="1" x14ac:dyDescent="0.3">
      <c r="A26" s="15">
        <v>3</v>
      </c>
      <c r="B26" s="16">
        <v>6552277</v>
      </c>
      <c r="C26" s="405">
        <v>5804</v>
      </c>
      <c r="D26" s="405">
        <v>1</v>
      </c>
      <c r="E26" s="17">
        <v>5.3</v>
      </c>
    </row>
    <row r="27" spans="1:6" ht="16.5" customHeight="1" x14ac:dyDescent="0.3">
      <c r="A27" s="15">
        <v>4</v>
      </c>
      <c r="B27" s="16">
        <v>6551311</v>
      </c>
      <c r="C27" s="16">
        <v>5786.7</v>
      </c>
      <c r="D27" s="405">
        <v>1.1000000000000001</v>
      </c>
      <c r="E27" s="17">
        <v>5.3</v>
      </c>
    </row>
    <row r="28" spans="1:6" ht="16.5" customHeight="1" x14ac:dyDescent="0.3">
      <c r="A28" s="15">
        <v>5</v>
      </c>
      <c r="B28" s="16">
        <v>6543973</v>
      </c>
      <c r="C28" s="16">
        <v>5794.8</v>
      </c>
      <c r="D28" s="405">
        <v>1</v>
      </c>
      <c r="E28" s="17">
        <v>5.3</v>
      </c>
    </row>
    <row r="29" spans="1:6" ht="16.5" customHeight="1" x14ac:dyDescent="0.3">
      <c r="A29" s="15">
        <v>6</v>
      </c>
      <c r="B29" s="19">
        <v>6549701</v>
      </c>
      <c r="C29" s="19">
        <v>5794.8</v>
      </c>
      <c r="D29" s="406">
        <v>1.1000000000000001</v>
      </c>
      <c r="E29" s="20">
        <v>5.3</v>
      </c>
    </row>
    <row r="30" spans="1:6" ht="16.5" customHeight="1" x14ac:dyDescent="0.3">
      <c r="A30" s="400" t="s">
        <v>18</v>
      </c>
      <c r="B30" s="21">
        <f>AVERAGE(B24:B29)</f>
        <v>6550789.833333333</v>
      </c>
      <c r="C30" s="399">
        <f>AVERAGE(C24:C29)</f>
        <v>5790.416666666667</v>
      </c>
      <c r="D30" s="23">
        <f>AVERAGE(D24:D29)</f>
        <v>1.0333333333333332</v>
      </c>
      <c r="E30" s="23">
        <f>AVERAGE(E24:E29)</f>
        <v>5.3</v>
      </c>
    </row>
    <row r="31" spans="1:6" ht="16.5" customHeight="1" x14ac:dyDescent="0.3">
      <c r="A31" s="15" t="s">
        <v>19</v>
      </c>
      <c r="B31" s="24">
        <f>(STDEV(B24:B29)/B30)</f>
        <v>6.4917518925255567E-4</v>
      </c>
      <c r="C31" s="25"/>
      <c r="D31" s="25"/>
      <c r="E31" s="26"/>
      <c r="F31" s="2"/>
    </row>
    <row r="32" spans="1:6" s="2" customFormat="1" ht="16.5" customHeight="1" x14ac:dyDescent="0.3">
      <c r="A32" s="401" t="s">
        <v>20</v>
      </c>
      <c r="B32" s="27">
        <f>COUNT(B24:B29)</f>
        <v>6</v>
      </c>
      <c r="C32" s="28"/>
      <c r="D32" s="29"/>
      <c r="E32" s="30"/>
    </row>
    <row r="33" spans="1:6" s="2" customFormat="1" ht="15.75" customHeight="1" x14ac:dyDescent="0.3">
      <c r="A33" s="8"/>
      <c r="B33" s="8"/>
      <c r="C33" s="8"/>
      <c r="D33" s="8"/>
      <c r="E33" s="31"/>
    </row>
    <row r="34" spans="1:6" s="2" customFormat="1" ht="16.5" customHeight="1" x14ac:dyDescent="0.3">
      <c r="A34" s="9" t="s">
        <v>21</v>
      </c>
      <c r="B34" s="32" t="s">
        <v>22</v>
      </c>
      <c r="C34" s="33"/>
      <c r="D34" s="33"/>
      <c r="E34" s="34"/>
    </row>
    <row r="35" spans="1:6" ht="16.5" customHeight="1" x14ac:dyDescent="0.3">
      <c r="A35" s="9"/>
      <c r="B35" s="32" t="s">
        <v>23</v>
      </c>
      <c r="C35" s="33"/>
      <c r="D35" s="33"/>
      <c r="E35" s="34"/>
      <c r="F35" s="2"/>
    </row>
    <row r="36" spans="1:6" ht="16.5" customHeight="1" x14ac:dyDescent="0.3">
      <c r="A36" s="9"/>
      <c r="B36" s="35" t="s">
        <v>24</v>
      </c>
      <c r="C36" s="33"/>
      <c r="D36" s="33"/>
      <c r="E36" s="33"/>
    </row>
    <row r="37" spans="1:6" ht="15.75" customHeight="1" x14ac:dyDescent="0.3">
      <c r="A37" s="8"/>
      <c r="B37" s="8"/>
      <c r="C37" s="8"/>
      <c r="D37" s="8"/>
      <c r="E37" s="8"/>
    </row>
    <row r="38" spans="1:6" ht="16.5" customHeight="1" x14ac:dyDescent="0.3">
      <c r="A38" s="5" t="s">
        <v>1</v>
      </c>
      <c r="B38" s="386" t="s">
        <v>25</v>
      </c>
    </row>
    <row r="39" spans="1:6" ht="16.5" customHeight="1" x14ac:dyDescent="0.3">
      <c r="A39" s="9" t="s">
        <v>4</v>
      </c>
      <c r="B39" s="7" t="str">
        <f>'MISOPROSTOL 2'!B87:C87</f>
        <v>MISOPROSTOL</v>
      </c>
      <c r="C39" s="8"/>
      <c r="D39" s="8"/>
      <c r="E39" s="8"/>
    </row>
    <row r="40" spans="1:6" ht="16.5" customHeight="1" x14ac:dyDescent="0.3">
      <c r="A40" s="9" t="s">
        <v>6</v>
      </c>
      <c r="B40" s="10">
        <f>'MISOPROSTOL 2'!B89</f>
        <v>98</v>
      </c>
      <c r="C40" s="8"/>
      <c r="D40" s="8"/>
      <c r="E40" s="8"/>
    </row>
    <row r="41" spans="1:6" ht="16.5" customHeight="1" x14ac:dyDescent="0.3">
      <c r="A41" s="6" t="s">
        <v>8</v>
      </c>
      <c r="B41" s="10">
        <f>'MISOPROSTOL 2'!D105</f>
        <v>20.39</v>
      </c>
      <c r="C41" s="8"/>
      <c r="D41" s="8"/>
      <c r="E41" s="8"/>
    </row>
    <row r="42" spans="1:6" ht="16.5" customHeight="1" x14ac:dyDescent="0.3">
      <c r="A42" s="6" t="s">
        <v>10</v>
      </c>
      <c r="B42" s="407">
        <f>B41/100*2/100*1/10</f>
        <v>4.0779999999999999E-4</v>
      </c>
      <c r="C42" s="8"/>
      <c r="D42" s="8"/>
      <c r="E42" s="8"/>
    </row>
    <row r="43" spans="1:6" ht="15.75" customHeight="1" x14ac:dyDescent="0.3">
      <c r="A43" s="8"/>
      <c r="B43" s="8"/>
      <c r="C43" s="8"/>
      <c r="D43" s="8"/>
      <c r="E43" s="8"/>
    </row>
    <row r="44" spans="1:6" ht="16.5" customHeight="1" x14ac:dyDescent="0.3">
      <c r="A44" s="12" t="s">
        <v>13</v>
      </c>
      <c r="B44" s="13" t="s">
        <v>14</v>
      </c>
      <c r="C44" s="12" t="s">
        <v>15</v>
      </c>
      <c r="D44" s="12" t="s">
        <v>16</v>
      </c>
      <c r="E44" s="14" t="s">
        <v>17</v>
      </c>
    </row>
    <row r="45" spans="1:6" ht="16.5" customHeight="1" x14ac:dyDescent="0.3">
      <c r="A45" s="15">
        <v>1</v>
      </c>
      <c r="B45" s="16">
        <v>730756</v>
      </c>
      <c r="C45" s="16">
        <v>5635.92</v>
      </c>
      <c r="D45" s="17">
        <v>0.99</v>
      </c>
      <c r="E45" s="18">
        <v>3.59</v>
      </c>
    </row>
    <row r="46" spans="1:6" ht="16.5" customHeight="1" x14ac:dyDescent="0.3">
      <c r="A46" s="15">
        <v>2</v>
      </c>
      <c r="B46" s="16">
        <v>731901</v>
      </c>
      <c r="C46" s="16">
        <v>5646.64</v>
      </c>
      <c r="D46" s="17">
        <v>0.97</v>
      </c>
      <c r="E46" s="17">
        <v>3.59</v>
      </c>
    </row>
    <row r="47" spans="1:6" ht="16.5" customHeight="1" x14ac:dyDescent="0.3">
      <c r="A47" s="15">
        <v>3</v>
      </c>
      <c r="B47" s="16">
        <v>729516</v>
      </c>
      <c r="C47" s="16">
        <v>5620.72</v>
      </c>
      <c r="D47" s="17">
        <v>0.98</v>
      </c>
      <c r="E47" s="17">
        <v>3.59</v>
      </c>
    </row>
    <row r="48" spans="1:6" ht="16.5" customHeight="1" x14ac:dyDescent="0.3">
      <c r="A48" s="15">
        <v>4</v>
      </c>
      <c r="B48" s="16">
        <v>727160</v>
      </c>
      <c r="C48" s="16">
        <v>5643.04</v>
      </c>
      <c r="D48" s="17">
        <v>0.97</v>
      </c>
      <c r="E48" s="17">
        <v>3.59</v>
      </c>
    </row>
    <row r="49" spans="1:7" ht="16.5" customHeight="1" x14ac:dyDescent="0.3">
      <c r="A49" s="15">
        <v>5</v>
      </c>
      <c r="B49" s="16">
        <v>731571</v>
      </c>
      <c r="C49" s="16">
        <v>5731.46</v>
      </c>
      <c r="D49" s="17">
        <v>0.97</v>
      </c>
      <c r="E49" s="17">
        <v>3.6</v>
      </c>
    </row>
    <row r="50" spans="1:7" ht="16.5" customHeight="1" x14ac:dyDescent="0.3">
      <c r="A50" s="15">
        <v>6</v>
      </c>
      <c r="B50" s="19">
        <v>724892</v>
      </c>
      <c r="C50" s="19">
        <v>5685.72</v>
      </c>
      <c r="D50" s="20">
        <v>0.97</v>
      </c>
      <c r="E50" s="20">
        <v>3.59</v>
      </c>
    </row>
    <row r="51" spans="1:7" ht="16.5" customHeight="1" x14ac:dyDescent="0.3">
      <c r="A51" s="400" t="s">
        <v>18</v>
      </c>
      <c r="B51" s="21">
        <f>AVERAGE(B45:B50)</f>
        <v>729299.33333333337</v>
      </c>
      <c r="C51" s="22">
        <f>AVERAGE(C45:C50)</f>
        <v>5660.583333333333</v>
      </c>
      <c r="D51" s="23">
        <f>AVERAGE(D45:D50)</f>
        <v>0.97499999999999998</v>
      </c>
      <c r="E51" s="23">
        <f>AVERAGE(E45:E50)</f>
        <v>3.5916666666666668</v>
      </c>
    </row>
    <row r="52" spans="1:7" ht="16.5" customHeight="1" x14ac:dyDescent="0.3">
      <c r="A52" s="15" t="s">
        <v>19</v>
      </c>
      <c r="B52" s="24">
        <f>(STDEV(B45:B50)/B51)</f>
        <v>3.7850154178171854E-3</v>
      </c>
      <c r="C52" s="25"/>
      <c r="D52" s="25"/>
      <c r="E52" s="26"/>
      <c r="F52" s="2"/>
    </row>
    <row r="53" spans="1:7" s="2" customFormat="1" ht="16.5" customHeight="1" x14ac:dyDescent="0.3">
      <c r="A53" s="401" t="s">
        <v>20</v>
      </c>
      <c r="B53" s="27">
        <f>COUNT(B45:B50)</f>
        <v>6</v>
      </c>
      <c r="C53" s="28"/>
      <c r="D53" s="29"/>
      <c r="E53" s="30"/>
    </row>
    <row r="54" spans="1:7" s="2" customFormat="1" ht="15.75" customHeight="1" x14ac:dyDescent="0.3">
      <c r="A54" s="8"/>
      <c r="B54" s="8"/>
      <c r="C54" s="8"/>
      <c r="D54" s="8"/>
      <c r="E54" s="31"/>
    </row>
    <row r="55" spans="1:7" s="2" customFormat="1" ht="16.5" customHeight="1" x14ac:dyDescent="0.3">
      <c r="A55" s="9" t="s">
        <v>21</v>
      </c>
      <c r="B55" s="32" t="s">
        <v>22</v>
      </c>
      <c r="C55" s="33"/>
      <c r="D55" s="33"/>
      <c r="E55" s="34"/>
    </row>
    <row r="56" spans="1:7" ht="16.5" customHeight="1" x14ac:dyDescent="0.3">
      <c r="A56" s="9"/>
      <c r="B56" s="32" t="s">
        <v>23</v>
      </c>
      <c r="C56" s="33"/>
      <c r="D56" s="33"/>
      <c r="E56" s="34"/>
      <c r="F56" s="2"/>
    </row>
    <row r="57" spans="1:7" ht="16.5" customHeight="1" x14ac:dyDescent="0.3">
      <c r="A57" s="9"/>
      <c r="B57" s="35" t="s">
        <v>24</v>
      </c>
      <c r="C57" s="33"/>
      <c r="D57" s="34"/>
      <c r="E57" s="33"/>
    </row>
    <row r="58" spans="1:7" ht="14.25" customHeight="1" thickBot="1" x14ac:dyDescent="0.35">
      <c r="A58" s="36"/>
      <c r="B58" s="37"/>
      <c r="D58" s="38"/>
      <c r="F58" s="190"/>
      <c r="G58" s="39"/>
    </row>
    <row r="59" spans="1:7" ht="30" customHeight="1" x14ac:dyDescent="0.3">
      <c r="B59" s="441" t="s">
        <v>26</v>
      </c>
      <c r="C59" s="441"/>
      <c r="D59" s="40" t="s">
        <v>27</v>
      </c>
      <c r="E59" s="40" t="s">
        <v>28</v>
      </c>
      <c r="F59" s="190"/>
    </row>
    <row r="60" spans="1:7" ht="46.5" customHeight="1" x14ac:dyDescent="0.3">
      <c r="A60" s="41" t="s">
        <v>29</v>
      </c>
      <c r="B60" s="385" t="s">
        <v>145</v>
      </c>
      <c r="C60" s="42"/>
      <c r="D60" s="42"/>
      <c r="E60" s="43"/>
      <c r="F60" s="2"/>
    </row>
    <row r="61" spans="1:7" ht="36.75" customHeight="1" x14ac:dyDescent="0.3">
      <c r="A61" s="41" t="s">
        <v>30</v>
      </c>
      <c r="B61" s="44"/>
      <c r="C61" s="44"/>
      <c r="D61" s="44"/>
      <c r="E61" s="45"/>
      <c r="F61" s="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51"/>
  <sheetViews>
    <sheetView view="pageBreakPreview" topLeftCell="A25" zoomScaleNormal="100" zoomScaleSheetLayoutView="100" workbookViewId="0">
      <selection activeCell="C44" sqref="C44"/>
    </sheetView>
  </sheetViews>
  <sheetFormatPr defaultRowHeight="13.2" x14ac:dyDescent="0.25"/>
  <cols>
    <col min="1" max="1" width="17.33203125" customWidth="1"/>
    <col min="2" max="2" width="15.33203125" customWidth="1"/>
    <col min="3" max="3" width="17.5546875" customWidth="1"/>
    <col min="4" max="4" width="21.33203125" customWidth="1"/>
    <col min="6" max="6" width="12.109375" customWidth="1"/>
  </cols>
  <sheetData>
    <row r="7" spans="1:6" ht="13.8" thickBot="1" x14ac:dyDescent="0.3"/>
    <row r="8" spans="1:6" ht="14.4" thickBot="1" x14ac:dyDescent="0.35">
      <c r="A8" s="447" t="s">
        <v>31</v>
      </c>
      <c r="B8" s="448"/>
      <c r="C8" s="448"/>
      <c r="D8" s="448"/>
      <c r="E8" s="448"/>
      <c r="F8" s="449"/>
    </row>
    <row r="9" spans="1:6" ht="15.6" x14ac:dyDescent="0.3">
      <c r="A9" s="443" t="s">
        <v>32</v>
      </c>
      <c r="B9" s="443"/>
      <c r="C9" s="443"/>
      <c r="D9" s="443"/>
      <c r="E9" s="443"/>
      <c r="F9" s="443"/>
    </row>
    <row r="10" spans="1:6" ht="13.8" x14ac:dyDescent="0.3">
      <c r="A10" s="1"/>
      <c r="B10" s="1"/>
      <c r="C10" s="1"/>
      <c r="D10" s="1"/>
      <c r="E10" s="1"/>
      <c r="F10" s="1"/>
    </row>
    <row r="11" spans="1:6" ht="15.6" x14ac:dyDescent="0.3">
      <c r="A11" s="442" t="s">
        <v>33</v>
      </c>
      <c r="B11" s="442"/>
      <c r="C11" s="239" t="s">
        <v>5</v>
      </c>
      <c r="D11" s="1"/>
      <c r="E11" s="1"/>
      <c r="F11" s="1"/>
    </row>
    <row r="12" spans="1:6" ht="15.6" x14ac:dyDescent="0.3">
      <c r="A12" s="442" t="s">
        <v>34</v>
      </c>
      <c r="B12" s="442"/>
      <c r="C12" s="239" t="s">
        <v>7</v>
      </c>
      <c r="D12" s="1"/>
      <c r="E12" s="1"/>
      <c r="F12" s="1"/>
    </row>
    <row r="13" spans="1:6" ht="15.6" x14ac:dyDescent="0.3">
      <c r="A13" s="442" t="s">
        <v>35</v>
      </c>
      <c r="B13" s="442"/>
      <c r="C13" s="239" t="s">
        <v>147</v>
      </c>
      <c r="D13" s="1"/>
      <c r="E13" s="1"/>
      <c r="F13" s="1"/>
    </row>
    <row r="14" spans="1:6" ht="30" customHeight="1" x14ac:dyDescent="0.3">
      <c r="A14" s="450" t="s">
        <v>36</v>
      </c>
      <c r="B14" s="450"/>
      <c r="C14" s="451" t="s">
        <v>148</v>
      </c>
      <c r="D14" s="451"/>
      <c r="E14" s="451"/>
      <c r="F14" s="451"/>
    </row>
    <row r="15" spans="1:6" ht="15.6" x14ac:dyDescent="0.3">
      <c r="A15" s="442" t="s">
        <v>37</v>
      </c>
      <c r="B15" s="442"/>
      <c r="C15" s="398" t="s">
        <v>12</v>
      </c>
      <c r="D15" s="1"/>
      <c r="E15" s="1"/>
      <c r="F15" s="1"/>
    </row>
    <row r="16" spans="1:6" ht="15.6" x14ac:dyDescent="0.3">
      <c r="A16" s="442" t="s">
        <v>38</v>
      </c>
      <c r="B16" s="442"/>
      <c r="C16" s="73"/>
      <c r="D16" s="1"/>
      <c r="E16" s="1"/>
      <c r="F16" s="1"/>
    </row>
    <row r="17" spans="1:6" ht="15.6" x14ac:dyDescent="0.3">
      <c r="A17" s="387"/>
      <c r="B17" s="387"/>
      <c r="C17" s="63"/>
      <c r="D17" s="1"/>
      <c r="E17" s="1"/>
      <c r="F17" s="1"/>
    </row>
    <row r="18" spans="1:6" ht="15.6" x14ac:dyDescent="0.3">
      <c r="A18" s="443" t="s">
        <v>1</v>
      </c>
      <c r="B18" s="443"/>
      <c r="C18" s="52" t="s">
        <v>39</v>
      </c>
      <c r="D18" s="55"/>
      <c r="E18" s="1"/>
      <c r="F18" s="1"/>
    </row>
    <row r="19" spans="1:6" ht="14.4" thickBot="1" x14ac:dyDescent="0.35">
      <c r="A19" s="444"/>
      <c r="B19" s="444"/>
      <c r="C19" s="50"/>
      <c r="D19" s="444"/>
      <c r="E19" s="444"/>
      <c r="F19" s="1"/>
    </row>
    <row r="20" spans="1:6" ht="31.8" thickBot="1" x14ac:dyDescent="0.35">
      <c r="A20" s="1"/>
      <c r="B20" s="1"/>
      <c r="C20" s="388" t="s">
        <v>40</v>
      </c>
      <c r="D20" s="389" t="s">
        <v>41</v>
      </c>
      <c r="E20" s="118"/>
      <c r="F20" s="1"/>
    </row>
    <row r="21" spans="1:6" ht="15.6" x14ac:dyDescent="0.3">
      <c r="A21" s="1"/>
      <c r="B21" s="395">
        <v>1</v>
      </c>
      <c r="C21" s="393">
        <v>200.82</v>
      </c>
      <c r="D21" s="390">
        <f>(C21-$C$43)/$C$43</f>
        <v>-1.2257023687730987E-2</v>
      </c>
      <c r="E21" s="46"/>
      <c r="F21" s="1"/>
    </row>
    <row r="22" spans="1:6" ht="15.6" x14ac:dyDescent="0.3">
      <c r="A22" s="1"/>
      <c r="B22" s="396">
        <v>2</v>
      </c>
      <c r="C22" s="393">
        <v>207.86</v>
      </c>
      <c r="D22" s="391">
        <f t="shared" ref="D22:D40" si="0">(C22-$C$43)/$C$43</f>
        <v>2.2369560084992818E-2</v>
      </c>
      <c r="E22" s="46"/>
      <c r="F22" s="1"/>
    </row>
    <row r="23" spans="1:6" ht="15.6" x14ac:dyDescent="0.3">
      <c r="A23" s="1"/>
      <c r="B23" s="396">
        <v>3</v>
      </c>
      <c r="C23" s="393">
        <v>201.77</v>
      </c>
      <c r="D23" s="391">
        <f t="shared" si="0"/>
        <v>-7.5844022979457441E-3</v>
      </c>
      <c r="E23" s="46"/>
      <c r="F23" s="1"/>
    </row>
    <row r="24" spans="1:6" ht="15.6" x14ac:dyDescent="0.3">
      <c r="A24" s="1"/>
      <c r="B24" s="396">
        <v>4</v>
      </c>
      <c r="C24" s="393">
        <v>203.05</v>
      </c>
      <c r="D24" s="391">
        <f t="shared" si="0"/>
        <v>-1.2886597938141558E-3</v>
      </c>
      <c r="E24" s="46"/>
      <c r="F24" s="1"/>
    </row>
    <row r="25" spans="1:6" ht="15.6" x14ac:dyDescent="0.3">
      <c r="A25" s="1"/>
      <c r="B25" s="396">
        <v>5</v>
      </c>
      <c r="C25" s="393">
        <v>204.66</v>
      </c>
      <c r="D25" s="391">
        <f t="shared" si="0"/>
        <v>6.6302038246637777E-3</v>
      </c>
      <c r="E25" s="46"/>
      <c r="F25" s="1"/>
    </row>
    <row r="26" spans="1:6" ht="15.6" x14ac:dyDescent="0.3">
      <c r="A26" s="1"/>
      <c r="B26" s="396">
        <v>6</v>
      </c>
      <c r="C26" s="393">
        <v>207.87</v>
      </c>
      <c r="D26" s="391">
        <f t="shared" si="0"/>
        <v>2.2418745573306302E-2</v>
      </c>
      <c r="E26" s="46"/>
      <c r="F26" s="1"/>
    </row>
    <row r="27" spans="1:6" ht="15.6" x14ac:dyDescent="0.3">
      <c r="A27" s="1"/>
      <c r="B27" s="396">
        <v>7</v>
      </c>
      <c r="C27" s="393">
        <v>204.33</v>
      </c>
      <c r="D27" s="391">
        <f t="shared" si="0"/>
        <v>5.007082710317432E-3</v>
      </c>
      <c r="E27" s="46"/>
      <c r="F27" s="1"/>
    </row>
    <row r="28" spans="1:6" ht="15.6" x14ac:dyDescent="0.3">
      <c r="A28" s="1"/>
      <c r="B28" s="396">
        <v>8</v>
      </c>
      <c r="C28" s="393">
        <v>197.65</v>
      </c>
      <c r="D28" s="391">
        <f t="shared" si="0"/>
        <v>-2.7848823483119296E-2</v>
      </c>
      <c r="E28" s="46"/>
      <c r="F28" s="1"/>
    </row>
    <row r="29" spans="1:6" ht="15.6" x14ac:dyDescent="0.3">
      <c r="A29" s="1"/>
      <c r="B29" s="396">
        <v>9</v>
      </c>
      <c r="C29" s="393">
        <v>204.55</v>
      </c>
      <c r="D29" s="391">
        <f t="shared" si="0"/>
        <v>6.0891634532150426E-3</v>
      </c>
      <c r="E29" s="46"/>
      <c r="F29" s="1"/>
    </row>
    <row r="30" spans="1:6" ht="15.6" x14ac:dyDescent="0.3">
      <c r="A30" s="1"/>
      <c r="B30" s="396">
        <v>10</v>
      </c>
      <c r="C30" s="393">
        <v>204.35</v>
      </c>
      <c r="D30" s="391">
        <f t="shared" si="0"/>
        <v>5.1054536869443983E-3</v>
      </c>
      <c r="E30" s="46"/>
      <c r="F30" s="1"/>
    </row>
    <row r="31" spans="1:6" ht="15.6" x14ac:dyDescent="0.3">
      <c r="A31" s="1"/>
      <c r="B31" s="396">
        <v>11</v>
      </c>
      <c r="C31" s="393">
        <v>203.04</v>
      </c>
      <c r="D31" s="391">
        <f t="shared" si="0"/>
        <v>-1.3378452821277789E-3</v>
      </c>
      <c r="E31" s="46"/>
      <c r="F31" s="1"/>
    </row>
    <row r="32" spans="1:6" ht="15.6" x14ac:dyDescent="0.3">
      <c r="A32" s="1"/>
      <c r="B32" s="396">
        <v>12</v>
      </c>
      <c r="C32" s="393">
        <v>199.91</v>
      </c>
      <c r="D32" s="391">
        <f t="shared" si="0"/>
        <v>-1.6732903124262018E-2</v>
      </c>
      <c r="E32" s="46"/>
      <c r="F32" s="1"/>
    </row>
    <row r="33" spans="1:6" ht="15.6" x14ac:dyDescent="0.3">
      <c r="A33" s="1"/>
      <c r="B33" s="396">
        <v>13</v>
      </c>
      <c r="C33" s="393">
        <v>202.33</v>
      </c>
      <c r="D33" s="391">
        <f t="shared" si="0"/>
        <v>-4.8300149523881654E-3</v>
      </c>
      <c r="E33" s="46"/>
      <c r="F33" s="1"/>
    </row>
    <row r="34" spans="1:6" ht="15.6" x14ac:dyDescent="0.3">
      <c r="A34" s="1"/>
      <c r="B34" s="396">
        <v>14</v>
      </c>
      <c r="C34" s="393">
        <v>199.86</v>
      </c>
      <c r="D34" s="391">
        <f t="shared" si="0"/>
        <v>-1.6978830565829574E-2</v>
      </c>
      <c r="E34" s="46"/>
      <c r="F34" s="1"/>
    </row>
    <row r="35" spans="1:6" ht="15.6" x14ac:dyDescent="0.3">
      <c r="A35" s="1"/>
      <c r="B35" s="396">
        <v>15</v>
      </c>
      <c r="C35" s="393">
        <v>202.37</v>
      </c>
      <c r="D35" s="391">
        <f t="shared" si="0"/>
        <v>-4.6332729991340922E-3</v>
      </c>
      <c r="E35" s="46"/>
      <c r="F35" s="1"/>
    </row>
    <row r="36" spans="1:6" ht="15.6" x14ac:dyDescent="0.3">
      <c r="A36" s="1"/>
      <c r="B36" s="396">
        <v>16</v>
      </c>
      <c r="C36" s="393">
        <v>205.37</v>
      </c>
      <c r="D36" s="391">
        <f t="shared" si="0"/>
        <v>1.0122373494924303E-2</v>
      </c>
      <c r="E36" s="46"/>
      <c r="F36" s="1"/>
    </row>
    <row r="37" spans="1:6" ht="15.6" x14ac:dyDescent="0.3">
      <c r="A37" s="1"/>
      <c r="B37" s="396">
        <v>17</v>
      </c>
      <c r="C37" s="393">
        <v>204.51</v>
      </c>
      <c r="D37" s="391">
        <f t="shared" si="0"/>
        <v>5.8924214999608298E-3</v>
      </c>
      <c r="E37" s="46"/>
      <c r="F37" s="1"/>
    </row>
    <row r="38" spans="1:6" ht="15.6" x14ac:dyDescent="0.3">
      <c r="A38" s="1"/>
      <c r="B38" s="396">
        <v>18</v>
      </c>
      <c r="C38" s="393">
        <v>201.85</v>
      </c>
      <c r="D38" s="391">
        <f t="shared" si="0"/>
        <v>-7.1909183914375986E-3</v>
      </c>
      <c r="E38" s="46"/>
      <c r="F38" s="1"/>
    </row>
    <row r="39" spans="1:6" ht="15.6" x14ac:dyDescent="0.3">
      <c r="A39" s="1"/>
      <c r="B39" s="396">
        <v>19</v>
      </c>
      <c r="C39" s="393">
        <v>204.55</v>
      </c>
      <c r="D39" s="391">
        <f t="shared" si="0"/>
        <v>6.0891634532150426E-3</v>
      </c>
      <c r="E39" s="46"/>
      <c r="F39" s="1"/>
    </row>
    <row r="40" spans="1:6" ht="16.2" thickBot="1" x14ac:dyDescent="0.35">
      <c r="A40" s="1"/>
      <c r="B40" s="397">
        <v>20</v>
      </c>
      <c r="C40" s="394">
        <v>205.54</v>
      </c>
      <c r="D40" s="392">
        <f t="shared" si="0"/>
        <v>1.0958526796254218E-2</v>
      </c>
      <c r="E40" s="46"/>
      <c r="F40" s="1"/>
    </row>
    <row r="41" spans="1:6" ht="16.2" thickBot="1" x14ac:dyDescent="0.35">
      <c r="A41" s="1"/>
      <c r="B41" s="1"/>
      <c r="C41" s="47"/>
      <c r="D41" s="46"/>
      <c r="E41" s="48"/>
      <c r="F41" s="1"/>
    </row>
    <row r="42" spans="1:6" ht="16.2" thickBot="1" x14ac:dyDescent="0.35">
      <c r="A42" s="1"/>
      <c r="B42" s="68" t="s">
        <v>42</v>
      </c>
      <c r="C42" s="403">
        <f>SUM(C21:C41)</f>
        <v>4066.2399999999993</v>
      </c>
      <c r="D42" s="64"/>
      <c r="E42" s="47"/>
      <c r="F42" s="1"/>
    </row>
    <row r="43" spans="1:6" ht="16.2" thickBot="1" x14ac:dyDescent="0.35">
      <c r="A43" s="1"/>
      <c r="B43" s="68" t="s">
        <v>43</v>
      </c>
      <c r="C43" s="404">
        <f>AVERAGE(C21:C40)</f>
        <v>203.31199999999995</v>
      </c>
      <c r="D43" s="1"/>
      <c r="E43" s="49"/>
      <c r="F43" s="1"/>
    </row>
    <row r="44" spans="1:6" ht="16.2" thickBot="1" x14ac:dyDescent="0.35">
      <c r="A44" s="239"/>
      <c r="B44" s="65"/>
      <c r="C44" s="1"/>
      <c r="D44" s="51"/>
      <c r="E44" s="49"/>
      <c r="F44" s="1"/>
    </row>
    <row r="45" spans="1:6" ht="31.8" thickBot="1" x14ac:dyDescent="0.35">
      <c r="A45" s="1"/>
      <c r="B45" s="70" t="s">
        <v>43</v>
      </c>
      <c r="C45" s="69" t="s">
        <v>44</v>
      </c>
      <c r="D45" s="66"/>
      <c r="E45" s="1"/>
      <c r="F45" s="1"/>
    </row>
    <row r="46" spans="1:6" ht="16.2" thickBot="1" x14ac:dyDescent="0.35">
      <c r="A46" s="1"/>
      <c r="B46" s="445">
        <f>C43</f>
        <v>203.31199999999995</v>
      </c>
      <c r="C46" s="71">
        <f>-IF(C43&lt;=80,10%,IF(C43&lt;250,7.5%,5%))</f>
        <v>-7.4999999999999997E-2</v>
      </c>
      <c r="D46" s="67">
        <f>IF(C43&lt;=80,C43*0.9,IF(C43&lt;250,C43*0.925,C43*0.95))</f>
        <v>188.06359999999998</v>
      </c>
      <c r="E46" s="1"/>
      <c r="F46" s="1"/>
    </row>
    <row r="47" spans="1:6" ht="16.2" thickBot="1" x14ac:dyDescent="0.35">
      <c r="A47" s="1"/>
      <c r="B47" s="446"/>
      <c r="C47" s="72">
        <f>IF(C43&lt;=80, 10%, IF(C43&lt;250, 7.5%, 5%))</f>
        <v>7.4999999999999997E-2</v>
      </c>
      <c r="D47" s="67">
        <f>IF(C43&lt;=80, C43*1.1, IF(C43&lt;250, C43*1.075, C43*1.05))</f>
        <v>218.56039999999993</v>
      </c>
      <c r="E47" s="1"/>
      <c r="F47" s="1"/>
    </row>
    <row r="48" spans="1:6" ht="16.2" thickBot="1" x14ac:dyDescent="0.35">
      <c r="A48" s="53"/>
      <c r="B48" s="240"/>
      <c r="C48" s="239"/>
      <c r="D48" s="54"/>
      <c r="E48" s="239"/>
      <c r="F48" s="55"/>
    </row>
    <row r="49" spans="1:6" ht="15.6" x14ac:dyDescent="0.3">
      <c r="A49" s="239"/>
      <c r="B49" s="56" t="s">
        <v>26</v>
      </c>
      <c r="C49" s="56"/>
      <c r="D49" s="57" t="s">
        <v>27</v>
      </c>
      <c r="E49" s="58"/>
      <c r="F49" s="57" t="s">
        <v>28</v>
      </c>
    </row>
    <row r="50" spans="1:6" ht="24" customHeight="1" x14ac:dyDescent="0.3">
      <c r="A50" s="387" t="s">
        <v>29</v>
      </c>
      <c r="B50" s="59"/>
      <c r="C50" s="239"/>
      <c r="D50" s="59"/>
      <c r="E50" s="239"/>
      <c r="F50" s="59"/>
    </row>
    <row r="51" spans="1:6" ht="26.4" customHeight="1" x14ac:dyDescent="0.3">
      <c r="A51" s="387" t="s">
        <v>30</v>
      </c>
      <c r="B51" s="60"/>
      <c r="C51" s="61"/>
      <c r="D51" s="60"/>
      <c r="E51" s="239"/>
      <c r="F51" s="62"/>
    </row>
  </sheetData>
  <mergeCells count="13">
    <mergeCell ref="B46:B47"/>
    <mergeCell ref="A8:F8"/>
    <mergeCell ref="A9:F9"/>
    <mergeCell ref="A11:B11"/>
    <mergeCell ref="A12:B12"/>
    <mergeCell ref="A13:B13"/>
    <mergeCell ref="A14:B14"/>
    <mergeCell ref="C14:F14"/>
    <mergeCell ref="A15:B15"/>
    <mergeCell ref="A16:B16"/>
    <mergeCell ref="A18:B18"/>
    <mergeCell ref="A19:B19"/>
    <mergeCell ref="D19:E19"/>
  </mergeCells>
  <conditionalFormatting sqref="D21:D40">
    <cfRule type="cellIs" dxfId="15" priority="1" operator="notBetween">
      <formula>IF(C43&lt;=80,-10.5%,IF(C43&lt;250,-7.5%,-5.5%))</formula>
      <formula>IF(C43&lt;=80,10.5%, IF(C43&lt;250,7.5%, C43*5.5%))</formula>
    </cfRule>
  </conditionalFormatting>
  <conditionalFormatting sqref="D41">
    <cfRule type="cellIs" dxfId="14" priority="21" operator="notBetween">
      <formula>IF(C43&lt;=80,-10.5%,IF(C43&lt;250,-7.5%,-5.5%))</formula>
      <formula>IF(C43&lt;=80,10.5%, IF(C43&lt;250,7.5%, C43*5.5%))</formula>
    </cfRule>
  </conditionalFormatting>
  <pageMargins left="0.7" right="0.7" top="0.75" bottom="0.75" header="0.3" footer="0.3"/>
  <pageSetup scale="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62" zoomScale="70" zoomScaleNormal="60" zoomScaleSheetLayoutView="70" zoomScalePageLayoutView="55" workbookViewId="0">
      <selection activeCell="G76" sqref="G76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480" t="s">
        <v>45</v>
      </c>
      <c r="B1" s="480"/>
      <c r="C1" s="480"/>
      <c r="D1" s="480"/>
      <c r="E1" s="480"/>
      <c r="F1" s="480"/>
      <c r="G1" s="480"/>
      <c r="H1" s="480"/>
      <c r="I1" s="480"/>
    </row>
    <row r="2" spans="1:9" ht="18.75" customHeight="1" x14ac:dyDescent="0.3">
      <c r="A2" s="480"/>
      <c r="B2" s="480"/>
      <c r="C2" s="480"/>
      <c r="D2" s="480"/>
      <c r="E2" s="480"/>
      <c r="F2" s="480"/>
      <c r="G2" s="480"/>
      <c r="H2" s="480"/>
      <c r="I2" s="480"/>
    </row>
    <row r="3" spans="1:9" ht="18.75" customHeight="1" x14ac:dyDescent="0.3">
      <c r="A3" s="480"/>
      <c r="B3" s="480"/>
      <c r="C3" s="480"/>
      <c r="D3" s="480"/>
      <c r="E3" s="480"/>
      <c r="F3" s="480"/>
      <c r="G3" s="480"/>
      <c r="H3" s="480"/>
      <c r="I3" s="480"/>
    </row>
    <row r="4" spans="1:9" ht="18.75" customHeight="1" x14ac:dyDescent="0.3">
      <c r="A4" s="480"/>
      <c r="B4" s="480"/>
      <c r="C4" s="480"/>
      <c r="D4" s="480"/>
      <c r="E4" s="480"/>
      <c r="F4" s="480"/>
      <c r="G4" s="480"/>
      <c r="H4" s="480"/>
      <c r="I4" s="480"/>
    </row>
    <row r="5" spans="1:9" ht="18.75" customHeight="1" x14ac:dyDescent="0.3">
      <c r="A5" s="480"/>
      <c r="B5" s="480"/>
      <c r="C5" s="480"/>
      <c r="D5" s="480"/>
      <c r="E5" s="480"/>
      <c r="F5" s="480"/>
      <c r="G5" s="480"/>
      <c r="H5" s="480"/>
      <c r="I5" s="480"/>
    </row>
    <row r="6" spans="1:9" ht="18.75" customHeight="1" x14ac:dyDescent="0.3">
      <c r="A6" s="480"/>
      <c r="B6" s="480"/>
      <c r="C6" s="480"/>
      <c r="D6" s="480"/>
      <c r="E6" s="480"/>
      <c r="F6" s="480"/>
      <c r="G6" s="480"/>
      <c r="H6" s="480"/>
      <c r="I6" s="480"/>
    </row>
    <row r="7" spans="1:9" ht="18.75" customHeight="1" x14ac:dyDescent="0.3">
      <c r="A7" s="480"/>
      <c r="B7" s="480"/>
      <c r="C7" s="480"/>
      <c r="D7" s="480"/>
      <c r="E7" s="480"/>
      <c r="F7" s="480"/>
      <c r="G7" s="480"/>
      <c r="H7" s="480"/>
      <c r="I7" s="480"/>
    </row>
    <row r="8" spans="1:9" x14ac:dyDescent="0.3">
      <c r="A8" s="481" t="s">
        <v>46</v>
      </c>
      <c r="B8" s="481"/>
      <c r="C8" s="481"/>
      <c r="D8" s="481"/>
      <c r="E8" s="481"/>
      <c r="F8" s="481"/>
      <c r="G8" s="481"/>
      <c r="H8" s="481"/>
      <c r="I8" s="481"/>
    </row>
    <row r="9" spans="1:9" x14ac:dyDescent="0.3">
      <c r="A9" s="481"/>
      <c r="B9" s="481"/>
      <c r="C9" s="481"/>
      <c r="D9" s="481"/>
      <c r="E9" s="481"/>
      <c r="F9" s="481"/>
      <c r="G9" s="481"/>
      <c r="H9" s="481"/>
      <c r="I9" s="481"/>
    </row>
    <row r="10" spans="1:9" x14ac:dyDescent="0.3">
      <c r="A10" s="481"/>
      <c r="B10" s="481"/>
      <c r="C10" s="481"/>
      <c r="D10" s="481"/>
      <c r="E10" s="481"/>
      <c r="F10" s="481"/>
      <c r="G10" s="481"/>
      <c r="H10" s="481"/>
      <c r="I10" s="481"/>
    </row>
    <row r="11" spans="1:9" x14ac:dyDescent="0.3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9" x14ac:dyDescent="0.3">
      <c r="A12" s="481"/>
      <c r="B12" s="481"/>
      <c r="C12" s="481"/>
      <c r="D12" s="481"/>
      <c r="E12" s="481"/>
      <c r="F12" s="481"/>
      <c r="G12" s="481"/>
      <c r="H12" s="481"/>
      <c r="I12" s="481"/>
    </row>
    <row r="13" spans="1:9" x14ac:dyDescent="0.3">
      <c r="A13" s="481"/>
      <c r="B13" s="481"/>
      <c r="C13" s="481"/>
      <c r="D13" s="481"/>
      <c r="E13" s="481"/>
      <c r="F13" s="481"/>
      <c r="G13" s="481"/>
      <c r="H13" s="481"/>
      <c r="I13" s="481"/>
    </row>
    <row r="14" spans="1:9" x14ac:dyDescent="0.3">
      <c r="A14" s="481"/>
      <c r="B14" s="481"/>
      <c r="C14" s="481"/>
      <c r="D14" s="481"/>
      <c r="E14" s="481"/>
      <c r="F14" s="481"/>
      <c r="G14" s="481"/>
      <c r="H14" s="481"/>
      <c r="I14" s="481"/>
    </row>
    <row r="15" spans="1:9" ht="19.5" customHeight="1" x14ac:dyDescent="0.35">
      <c r="A15" s="74"/>
    </row>
    <row r="16" spans="1:9" ht="19.5" customHeight="1" x14ac:dyDescent="0.35">
      <c r="A16" s="453" t="s">
        <v>31</v>
      </c>
      <c r="B16" s="454"/>
      <c r="C16" s="454"/>
      <c r="D16" s="454"/>
      <c r="E16" s="454"/>
      <c r="F16" s="454"/>
      <c r="G16" s="454"/>
      <c r="H16" s="455"/>
    </row>
    <row r="17" spans="1:14" ht="20.25" customHeight="1" x14ac:dyDescent="0.3">
      <c r="A17" s="456" t="s">
        <v>47</v>
      </c>
      <c r="B17" s="456"/>
      <c r="C17" s="456"/>
      <c r="D17" s="456"/>
      <c r="E17" s="456"/>
      <c r="F17" s="456"/>
      <c r="G17" s="456"/>
      <c r="H17" s="456"/>
    </row>
    <row r="18" spans="1:14" ht="26.25" customHeight="1" x14ac:dyDescent="0.5">
      <c r="A18" s="76" t="s">
        <v>33</v>
      </c>
      <c r="B18" s="452" t="s">
        <v>5</v>
      </c>
      <c r="C18" s="452"/>
      <c r="D18" s="225"/>
      <c r="E18" s="77"/>
      <c r="F18" s="78"/>
      <c r="G18" s="78"/>
      <c r="H18" s="78"/>
    </row>
    <row r="19" spans="1:14" ht="26.25" customHeight="1" x14ac:dyDescent="0.5">
      <c r="A19" s="76" t="s">
        <v>34</v>
      </c>
      <c r="B19" s="79" t="s">
        <v>7</v>
      </c>
      <c r="C19" s="237">
        <v>29</v>
      </c>
      <c r="D19" s="78"/>
      <c r="E19" s="78"/>
      <c r="F19" s="78"/>
      <c r="G19" s="78"/>
      <c r="H19" s="78"/>
    </row>
    <row r="20" spans="1:14" ht="26.25" customHeight="1" x14ac:dyDescent="0.5">
      <c r="A20" s="76" t="s">
        <v>35</v>
      </c>
      <c r="B20" s="457" t="s">
        <v>153</v>
      </c>
      <c r="C20" s="457"/>
      <c r="D20" s="78"/>
      <c r="E20" s="78"/>
      <c r="F20" s="78"/>
      <c r="G20" s="78"/>
      <c r="H20" s="78"/>
    </row>
    <row r="21" spans="1:14" ht="26.25" customHeight="1" x14ac:dyDescent="0.5">
      <c r="A21" s="76" t="s">
        <v>36</v>
      </c>
      <c r="B21" s="457" t="s">
        <v>11</v>
      </c>
      <c r="C21" s="457"/>
      <c r="D21" s="457"/>
      <c r="E21" s="457"/>
      <c r="F21" s="457"/>
      <c r="G21" s="457"/>
      <c r="H21" s="457"/>
      <c r="I21" s="80"/>
    </row>
    <row r="22" spans="1:14" ht="26.25" customHeight="1" x14ac:dyDescent="0.5">
      <c r="A22" s="76" t="s">
        <v>37</v>
      </c>
      <c r="B22" s="81" t="s">
        <v>151</v>
      </c>
      <c r="C22" s="78"/>
      <c r="D22" s="78"/>
      <c r="E22" s="78"/>
      <c r="F22" s="78"/>
      <c r="G22" s="78"/>
      <c r="H22" s="78"/>
    </row>
    <row r="23" spans="1:14" ht="26.25" customHeight="1" x14ac:dyDescent="0.5">
      <c r="A23" s="76" t="s">
        <v>38</v>
      </c>
      <c r="B23" s="81" t="s">
        <v>146</v>
      </c>
      <c r="C23" s="78"/>
      <c r="D23" s="78"/>
      <c r="E23" s="78"/>
      <c r="F23" s="78"/>
      <c r="G23" s="78"/>
      <c r="H23" s="78"/>
    </row>
    <row r="24" spans="1:14" ht="18" x14ac:dyDescent="0.35">
      <c r="A24" s="76"/>
      <c r="B24" s="82"/>
    </row>
    <row r="25" spans="1:14" ht="18" x14ac:dyDescent="0.35">
      <c r="A25" s="83" t="s">
        <v>1</v>
      </c>
      <c r="B25" s="82"/>
    </row>
    <row r="26" spans="1:14" ht="26.25" customHeight="1" x14ac:dyDescent="0.45">
      <c r="A26" s="84" t="s">
        <v>4</v>
      </c>
      <c r="B26" s="174" t="s">
        <v>142</v>
      </c>
      <c r="C26" s="190"/>
    </row>
    <row r="27" spans="1:14" ht="26.25" customHeight="1" x14ac:dyDescent="0.5">
      <c r="A27" s="85" t="s">
        <v>48</v>
      </c>
      <c r="B27" s="87" t="s">
        <v>154</v>
      </c>
      <c r="C27" s="190"/>
    </row>
    <row r="28" spans="1:14" ht="27" customHeight="1" x14ac:dyDescent="0.45">
      <c r="A28" s="85" t="s">
        <v>6</v>
      </c>
      <c r="B28" s="86">
        <v>99.26</v>
      </c>
    </row>
    <row r="29" spans="1:14" s="12" customFormat="1" ht="27" customHeight="1" x14ac:dyDescent="0.5">
      <c r="A29" s="85" t="s">
        <v>49</v>
      </c>
      <c r="B29" s="87">
        <v>0</v>
      </c>
      <c r="C29" s="459" t="s">
        <v>50</v>
      </c>
      <c r="D29" s="460"/>
      <c r="E29" s="460"/>
      <c r="F29" s="460"/>
      <c r="G29" s="461"/>
      <c r="H29" s="190"/>
      <c r="I29" s="88"/>
      <c r="J29" s="88"/>
      <c r="K29" s="88"/>
      <c r="L29" s="88"/>
    </row>
    <row r="30" spans="1:14" s="12" customFormat="1" ht="19.5" customHeight="1" x14ac:dyDescent="0.35">
      <c r="A30" s="85" t="s">
        <v>51</v>
      </c>
      <c r="B30" s="89">
        <f>B28-B29</f>
        <v>99.26</v>
      </c>
      <c r="C30" s="90"/>
      <c r="D30" s="90"/>
      <c r="E30" s="90"/>
      <c r="F30" s="90"/>
      <c r="G30" s="91"/>
      <c r="H30" s="190"/>
      <c r="I30" s="88"/>
      <c r="J30" s="88"/>
      <c r="K30" s="88"/>
      <c r="L30" s="88"/>
    </row>
    <row r="31" spans="1:14" s="12" customFormat="1" ht="27" customHeight="1" x14ac:dyDescent="0.45">
      <c r="A31" s="85" t="s">
        <v>52</v>
      </c>
      <c r="B31" s="92">
        <v>1</v>
      </c>
      <c r="C31" s="462" t="s">
        <v>53</v>
      </c>
      <c r="D31" s="463"/>
      <c r="E31" s="463"/>
      <c r="F31" s="463"/>
      <c r="G31" s="463"/>
      <c r="H31" s="464"/>
      <c r="I31" s="88"/>
      <c r="J31" s="88"/>
      <c r="K31" s="88"/>
      <c r="L31" s="88"/>
    </row>
    <row r="32" spans="1:14" s="12" customFormat="1" ht="27" customHeight="1" x14ac:dyDescent="0.45">
      <c r="A32" s="85" t="s">
        <v>54</v>
      </c>
      <c r="B32" s="92">
        <v>1</v>
      </c>
      <c r="C32" s="462" t="s">
        <v>55</v>
      </c>
      <c r="D32" s="463"/>
      <c r="E32" s="463"/>
      <c r="F32" s="463"/>
      <c r="G32" s="463"/>
      <c r="H32" s="464"/>
      <c r="I32" s="88"/>
      <c r="J32" s="88"/>
      <c r="K32" s="88"/>
      <c r="L32" s="93"/>
      <c r="M32" s="93"/>
      <c r="N32" s="94"/>
    </row>
    <row r="33" spans="1:14" s="12" customFormat="1" ht="17.25" customHeight="1" x14ac:dyDescent="0.35">
      <c r="A33" s="85"/>
      <c r="B33" s="95"/>
      <c r="C33" s="96"/>
      <c r="D33" s="96"/>
      <c r="E33" s="96"/>
      <c r="F33" s="96"/>
      <c r="G33" s="96"/>
      <c r="H33" s="96"/>
      <c r="I33" s="88"/>
      <c r="J33" s="88"/>
      <c r="K33" s="88"/>
      <c r="L33" s="93"/>
      <c r="M33" s="93"/>
      <c r="N33" s="94"/>
    </row>
    <row r="34" spans="1:14" s="12" customFormat="1" ht="18" x14ac:dyDescent="0.35">
      <c r="A34" s="85" t="s">
        <v>56</v>
      </c>
      <c r="B34" s="97">
        <f>B31/B32</f>
        <v>1</v>
      </c>
      <c r="C34" s="75" t="s">
        <v>57</v>
      </c>
      <c r="D34" s="75"/>
      <c r="E34" s="75"/>
      <c r="F34" s="75"/>
      <c r="G34" s="75"/>
      <c r="H34" s="190"/>
      <c r="I34" s="88"/>
      <c r="J34" s="88"/>
      <c r="K34" s="88"/>
      <c r="L34" s="93"/>
      <c r="M34" s="93"/>
      <c r="N34" s="94"/>
    </row>
    <row r="35" spans="1:14" s="12" customFormat="1" ht="19.5" customHeight="1" x14ac:dyDescent="0.35">
      <c r="A35" s="85"/>
      <c r="B35" s="89"/>
      <c r="G35" s="75"/>
      <c r="H35" s="190"/>
      <c r="I35" s="88"/>
      <c r="J35" s="88"/>
      <c r="K35" s="88"/>
      <c r="L35" s="93"/>
      <c r="M35" s="93"/>
      <c r="N35" s="94"/>
    </row>
    <row r="36" spans="1:14" s="12" customFormat="1" ht="27" customHeight="1" x14ac:dyDescent="0.45">
      <c r="A36" s="98" t="s">
        <v>58</v>
      </c>
      <c r="B36" s="99">
        <v>100</v>
      </c>
      <c r="C36" s="75"/>
      <c r="D36" s="465" t="s">
        <v>59</v>
      </c>
      <c r="E36" s="466"/>
      <c r="F36" s="465" t="s">
        <v>60</v>
      </c>
      <c r="G36" s="467"/>
      <c r="H36" s="190"/>
      <c r="J36" s="88"/>
      <c r="K36" s="88"/>
      <c r="L36" s="93"/>
      <c r="M36" s="93"/>
      <c r="N36" s="94"/>
    </row>
    <row r="37" spans="1:14" s="12" customFormat="1" ht="27" customHeight="1" x14ac:dyDescent="0.45">
      <c r="A37" s="100" t="s">
        <v>61</v>
      </c>
      <c r="B37" s="101">
        <v>4</v>
      </c>
      <c r="C37" s="102" t="s">
        <v>152</v>
      </c>
      <c r="D37" s="103" t="s">
        <v>63</v>
      </c>
      <c r="E37" s="104" t="s">
        <v>64</v>
      </c>
      <c r="F37" s="103" t="s">
        <v>63</v>
      </c>
      <c r="G37" s="105" t="s">
        <v>64</v>
      </c>
      <c r="H37" s="190"/>
      <c r="I37" s="106" t="s">
        <v>65</v>
      </c>
      <c r="J37" s="88"/>
      <c r="K37" s="88"/>
      <c r="L37" s="93"/>
      <c r="M37" s="93"/>
      <c r="N37" s="94"/>
    </row>
    <row r="38" spans="1:14" s="12" customFormat="1" ht="26.25" customHeight="1" x14ac:dyDescent="0.45">
      <c r="A38" s="100" t="s">
        <v>66</v>
      </c>
      <c r="B38" s="101">
        <v>50</v>
      </c>
      <c r="C38" s="107">
        <v>1</v>
      </c>
      <c r="D38" s="108">
        <v>0.6925</v>
      </c>
      <c r="E38" s="233">
        <f>IF(ISBLANK(D38),"-",$D$48/$D$45*D38)</f>
        <v>0.52157797847613008</v>
      </c>
      <c r="F38" s="108">
        <v>0.65310000000000001</v>
      </c>
      <c r="G38" s="517">
        <f>IF(ISBLANK(F38),"-",$D$48/$F$45*F38)</f>
        <v>0.52755690376909725</v>
      </c>
      <c r="H38" s="190"/>
      <c r="I38" s="109"/>
      <c r="J38" s="88"/>
      <c r="K38" s="88"/>
      <c r="L38" s="93"/>
      <c r="M38" s="93"/>
      <c r="N38" s="94"/>
    </row>
    <row r="39" spans="1:14" s="12" customFormat="1" ht="26.25" customHeight="1" x14ac:dyDescent="0.45">
      <c r="A39" s="100" t="s">
        <v>67</v>
      </c>
      <c r="B39" s="101">
        <v>1</v>
      </c>
      <c r="C39" s="110">
        <v>2</v>
      </c>
      <c r="D39" s="111">
        <v>0.69420000000000004</v>
      </c>
      <c r="E39" s="234">
        <f>IF(ISBLANK(D39),"-",$D$48/$D$45*D39)</f>
        <v>0.52285838650993433</v>
      </c>
      <c r="F39" s="111">
        <v>0.65139999999999998</v>
      </c>
      <c r="G39" s="518">
        <f>IF(ISBLANK(F39),"-",$D$48/$F$45*F39)</f>
        <v>0.52618368873861565</v>
      </c>
      <c r="H39" s="190"/>
      <c r="I39" s="469">
        <f>ABS((F43/D43*D42)-F42)/D42</f>
        <v>7.4568455823610285E-3</v>
      </c>
      <c r="J39" s="88"/>
      <c r="K39" s="88"/>
      <c r="L39" s="93"/>
      <c r="M39" s="93"/>
      <c r="N39" s="94"/>
    </row>
    <row r="40" spans="1:14" ht="26.25" customHeight="1" x14ac:dyDescent="0.45">
      <c r="A40" s="100" t="s">
        <v>68</v>
      </c>
      <c r="B40" s="101">
        <v>1</v>
      </c>
      <c r="C40" s="110">
        <v>3</v>
      </c>
      <c r="D40" s="111">
        <v>0.69389999999999996</v>
      </c>
      <c r="E40" s="234">
        <f>IF(ISBLANK(D40),"-",$D$48/$D$45*D40)</f>
        <v>0.52263243215102761</v>
      </c>
      <c r="F40" s="516">
        <v>0.65100000000000002</v>
      </c>
      <c r="G40" s="518">
        <f>IF(ISBLANK(F40),"-",$D$48/$F$45*F40)</f>
        <v>0.52586057931967889</v>
      </c>
      <c r="I40" s="469"/>
      <c r="L40" s="93"/>
      <c r="M40" s="93"/>
      <c r="N40" s="112"/>
    </row>
    <row r="41" spans="1:14" ht="27" customHeight="1" x14ac:dyDescent="0.45">
      <c r="A41" s="100" t="s">
        <v>69</v>
      </c>
      <c r="B41" s="101">
        <v>1</v>
      </c>
      <c r="C41" s="113">
        <v>4</v>
      </c>
      <c r="D41" s="114"/>
      <c r="E41" s="235" t="str">
        <f>IF(ISBLANK(D41),"-",$D$48/$D$45*D41)</f>
        <v>-</v>
      </c>
      <c r="F41" s="114"/>
      <c r="G41" s="519" t="str">
        <f>IF(ISBLANK(F41),"-",$D$48/$F$45*F41)</f>
        <v>-</v>
      </c>
      <c r="I41" s="116"/>
      <c r="L41" s="93"/>
      <c r="M41" s="93"/>
      <c r="N41" s="112"/>
    </row>
    <row r="42" spans="1:14" ht="27" customHeight="1" x14ac:dyDescent="0.45">
      <c r="A42" s="100" t="s">
        <v>70</v>
      </c>
      <c r="B42" s="101">
        <v>1</v>
      </c>
      <c r="C42" s="117" t="s">
        <v>71</v>
      </c>
      <c r="D42" s="522">
        <f>AVERAGE(D38:D41)</f>
        <v>0.69353333333333333</v>
      </c>
      <c r="E42" s="521">
        <f>AVERAGE(E38:E41)</f>
        <v>0.52235626571236404</v>
      </c>
      <c r="F42" s="522">
        <f>AVERAGE(F38:F41)</f>
        <v>0.65183333333333338</v>
      </c>
      <c r="G42" s="520">
        <f>AVERAGE(G38:G41)</f>
        <v>0.526533723942464</v>
      </c>
      <c r="H42" s="118"/>
    </row>
    <row r="43" spans="1:14" ht="26.25" customHeight="1" x14ac:dyDescent="0.45">
      <c r="A43" s="100" t="s">
        <v>72</v>
      </c>
      <c r="B43" s="101">
        <v>1</v>
      </c>
      <c r="C43" s="119" t="s">
        <v>73</v>
      </c>
      <c r="D43" s="120">
        <v>16.72</v>
      </c>
      <c r="E43" s="112"/>
      <c r="F43" s="120">
        <v>15.59</v>
      </c>
      <c r="H43" s="118"/>
    </row>
    <row r="44" spans="1:14" ht="26.25" customHeight="1" x14ac:dyDescent="0.45">
      <c r="A44" s="100" t="s">
        <v>74</v>
      </c>
      <c r="B44" s="101">
        <v>1</v>
      </c>
      <c r="C44" s="121" t="s">
        <v>75</v>
      </c>
      <c r="D44" s="122">
        <f>D43*$B$34</f>
        <v>16.72</v>
      </c>
      <c r="E44" s="123"/>
      <c r="F44" s="122">
        <f>F43*$B$34</f>
        <v>15.59</v>
      </c>
      <c r="H44" s="118"/>
    </row>
    <row r="45" spans="1:14" ht="19.5" customHeight="1" x14ac:dyDescent="0.35">
      <c r="A45" s="100" t="s">
        <v>76</v>
      </c>
      <c r="B45" s="124">
        <f>(B44/B43)*(B42/B41)*(B40/B39)*(B38/B37)*B36</f>
        <v>1250</v>
      </c>
      <c r="C45" s="121" t="s">
        <v>77</v>
      </c>
      <c r="D45" s="125">
        <f>D44*$B$30/100</f>
        <v>16.596271999999999</v>
      </c>
      <c r="E45" s="126"/>
      <c r="F45" s="125">
        <f>F44*$B$30/100</f>
        <v>15.474634000000002</v>
      </c>
      <c r="H45" s="118"/>
    </row>
    <row r="46" spans="1:14" ht="19.5" customHeight="1" x14ac:dyDescent="0.35">
      <c r="A46" s="470" t="s">
        <v>78</v>
      </c>
      <c r="B46" s="471"/>
      <c r="C46" s="121" t="s">
        <v>79</v>
      </c>
      <c r="D46" s="127">
        <f>D45/$B$45</f>
        <v>1.32770176E-2</v>
      </c>
      <c r="E46" s="128"/>
      <c r="F46" s="129">
        <f>F45/$B$45</f>
        <v>1.2379707200000001E-2</v>
      </c>
      <c r="H46" s="118"/>
    </row>
    <row r="47" spans="1:14" ht="27" customHeight="1" x14ac:dyDescent="0.45">
      <c r="A47" s="472"/>
      <c r="B47" s="473"/>
      <c r="C47" s="130" t="s">
        <v>80</v>
      </c>
      <c r="D47" s="131">
        <v>0.01</v>
      </c>
      <c r="E47" s="132"/>
      <c r="F47" s="128"/>
      <c r="H47" s="118"/>
    </row>
    <row r="48" spans="1:14" ht="18" x14ac:dyDescent="0.35">
      <c r="C48" s="133" t="s">
        <v>81</v>
      </c>
      <c r="D48" s="125">
        <f>D47*$B$45</f>
        <v>12.5</v>
      </c>
      <c r="F48" s="134"/>
      <c r="H48" s="118"/>
    </row>
    <row r="49" spans="1:12" ht="19.5" customHeight="1" x14ac:dyDescent="0.35">
      <c r="C49" s="135" t="s">
        <v>82</v>
      </c>
      <c r="D49" s="136">
        <f>D48/B34</f>
        <v>12.5</v>
      </c>
      <c r="F49" s="167"/>
      <c r="H49" s="118"/>
    </row>
    <row r="50" spans="1:12" ht="18" x14ac:dyDescent="0.35">
      <c r="C50" s="98" t="s">
        <v>83</v>
      </c>
      <c r="D50" s="523">
        <f>AVERAGE(E38:E41,G38:G41)</f>
        <v>0.52444499482741402</v>
      </c>
      <c r="F50" s="137"/>
      <c r="H50" s="118"/>
    </row>
    <row r="51" spans="1:12" ht="18" x14ac:dyDescent="0.35">
      <c r="C51" s="100" t="s">
        <v>84</v>
      </c>
      <c r="D51" s="138">
        <f>STDEV(E38:E41,G38:G41)/D50</f>
        <v>4.5709724428021365E-3</v>
      </c>
      <c r="F51" s="137"/>
      <c r="H51" s="118"/>
    </row>
    <row r="52" spans="1:12" ht="19.5" customHeight="1" x14ac:dyDescent="0.35">
      <c r="C52" s="139" t="s">
        <v>20</v>
      </c>
      <c r="D52" s="140">
        <f>COUNT(E38:E41,G38:G41)</f>
        <v>6</v>
      </c>
      <c r="F52" s="137"/>
    </row>
    <row r="54" spans="1:12" ht="18" x14ac:dyDescent="0.35">
      <c r="A54" s="141" t="s">
        <v>1</v>
      </c>
      <c r="B54" s="142" t="s">
        <v>85</v>
      </c>
    </row>
    <row r="55" spans="1:12" ht="18" x14ac:dyDescent="0.35">
      <c r="A55" s="75" t="s">
        <v>86</v>
      </c>
      <c r="B55" s="143" t="str">
        <f>B21</f>
        <v>Each 1 Mifepristone tablet contains 200 mg, 1 tablet Misopristol tablet contains 200 mcg</v>
      </c>
    </row>
    <row r="56" spans="1:12" ht="26.25" customHeight="1" x14ac:dyDescent="0.45">
      <c r="A56" s="144" t="s">
        <v>87</v>
      </c>
      <c r="B56" s="145">
        <v>200</v>
      </c>
      <c r="C56" s="75" t="str">
        <f>B20</f>
        <v>Mifepristone</v>
      </c>
      <c r="H56" s="146"/>
    </row>
    <row r="57" spans="1:12" ht="18" x14ac:dyDescent="0.35">
      <c r="A57" s="143" t="s">
        <v>150</v>
      </c>
      <c r="B57" s="226">
        <f>'Uniformity - Mifepristone'!C43</f>
        <v>286.26549999999997</v>
      </c>
      <c r="H57" s="146"/>
    </row>
    <row r="58" spans="1:12" ht="19.5" customHeight="1" x14ac:dyDescent="0.35">
      <c r="H58" s="146"/>
      <c r="J58" s="190"/>
      <c r="K58" s="190"/>
    </row>
    <row r="59" spans="1:12" s="12" customFormat="1" ht="27" customHeight="1" x14ac:dyDescent="0.45">
      <c r="A59" s="98" t="s">
        <v>88</v>
      </c>
      <c r="B59" s="99">
        <v>200</v>
      </c>
      <c r="C59" s="75"/>
      <c r="D59" s="147" t="s">
        <v>89</v>
      </c>
      <c r="E59" s="148" t="s">
        <v>62</v>
      </c>
      <c r="F59" s="148" t="s">
        <v>63</v>
      </c>
      <c r="G59" s="148" t="s">
        <v>90</v>
      </c>
      <c r="H59" s="102" t="s">
        <v>91</v>
      </c>
      <c r="J59" s="190"/>
      <c r="K59" s="190"/>
      <c r="L59" s="88"/>
    </row>
    <row r="60" spans="1:12" s="12" customFormat="1" ht="26.25" customHeight="1" x14ac:dyDescent="0.45">
      <c r="A60" s="100" t="s">
        <v>92</v>
      </c>
      <c r="B60" s="101">
        <v>2</v>
      </c>
      <c r="C60" s="474" t="s">
        <v>93</v>
      </c>
      <c r="D60" s="477">
        <v>141.68</v>
      </c>
      <c r="E60" s="149">
        <v>1</v>
      </c>
      <c r="F60" s="150">
        <v>0.49659999999999999</v>
      </c>
      <c r="G60" s="227">
        <f>IF(ISBLANK(F60),"-",(F60/$D$50*$D$47*$B$68)*($B$57/$D$60))</f>
        <v>191.32302248722641</v>
      </c>
      <c r="H60" s="151">
        <f t="shared" ref="H60:H71" si="0">IF(ISBLANK(F60),"-",G60/$B$56)</f>
        <v>0.95661511243613206</v>
      </c>
      <c r="J60" s="190"/>
      <c r="K60" s="190"/>
      <c r="L60" s="88"/>
    </row>
    <row r="61" spans="1:12" s="12" customFormat="1" ht="26.25" customHeight="1" x14ac:dyDescent="0.45">
      <c r="A61" s="100" t="s">
        <v>94</v>
      </c>
      <c r="B61" s="101">
        <v>100</v>
      </c>
      <c r="C61" s="475"/>
      <c r="D61" s="478"/>
      <c r="E61" s="152">
        <v>2</v>
      </c>
      <c r="F61" s="111">
        <v>0.49469999999999997</v>
      </c>
      <c r="G61" s="228">
        <f>IF(ISBLANK(F61),"-",(F61/$D$50*$D$47*$B$68)*($B$57/$D$60))</f>
        <v>190.59101736695715</v>
      </c>
      <c r="H61" s="153">
        <f t="shared" si="0"/>
        <v>0.95295508683478569</v>
      </c>
      <c r="J61" s="190"/>
      <c r="K61" s="190"/>
      <c r="L61" s="88"/>
    </row>
    <row r="62" spans="1:12" s="12" customFormat="1" ht="26.25" customHeight="1" x14ac:dyDescent="0.45">
      <c r="A62" s="100" t="s">
        <v>95</v>
      </c>
      <c r="B62" s="101">
        <v>1</v>
      </c>
      <c r="C62" s="475"/>
      <c r="D62" s="478"/>
      <c r="E62" s="152">
        <v>3</v>
      </c>
      <c r="F62" s="516">
        <v>0.4955</v>
      </c>
      <c r="G62" s="228">
        <f>IF(ISBLANK(F62),"-",(F62/$D$50*$D$47*$B$68)*($B$57/$D$60))</f>
        <v>190.89923004917583</v>
      </c>
      <c r="H62" s="153">
        <f t="shared" si="0"/>
        <v>0.95449615024587908</v>
      </c>
      <c r="J62" s="190"/>
      <c r="K62" s="190"/>
      <c r="L62" s="88"/>
    </row>
    <row r="63" spans="1:12" ht="27" customHeight="1" x14ac:dyDescent="0.45">
      <c r="A63" s="100" t="s">
        <v>96</v>
      </c>
      <c r="B63" s="101">
        <v>1</v>
      </c>
      <c r="C63" s="476"/>
      <c r="D63" s="479"/>
      <c r="E63" s="154">
        <v>4</v>
      </c>
      <c r="F63" s="155"/>
      <c r="G63" s="228" t="str">
        <f>IF(ISBLANK(F63),"-",(F63/$D$50*$D$47*$B$68)*($B$57/$D$60))</f>
        <v>-</v>
      </c>
      <c r="H63" s="153" t="str">
        <f t="shared" si="0"/>
        <v>-</v>
      </c>
      <c r="J63" s="190"/>
      <c r="K63" s="190"/>
    </row>
    <row r="64" spans="1:12" ht="26.25" customHeight="1" x14ac:dyDescent="0.45">
      <c r="A64" s="100" t="s">
        <v>97</v>
      </c>
      <c r="B64" s="101">
        <v>1</v>
      </c>
      <c r="C64" s="474" t="s">
        <v>98</v>
      </c>
      <c r="D64" s="477">
        <v>145.01</v>
      </c>
      <c r="E64" s="149">
        <v>1</v>
      </c>
      <c r="F64" s="150">
        <v>0.50539999999999996</v>
      </c>
      <c r="G64" s="229">
        <f>IF(ISBLANK(F64),"-",(F64/$D$50*$D$47*$B$68)*($B$57/$D$64))</f>
        <v>190.24197729104455</v>
      </c>
      <c r="H64" s="156">
        <f t="shared" si="0"/>
        <v>0.95120988645522275</v>
      </c>
      <c r="J64" s="190"/>
      <c r="K64" s="190"/>
    </row>
    <row r="65" spans="1:11" ht="26.25" customHeight="1" x14ac:dyDescent="0.45">
      <c r="A65" s="100" t="s">
        <v>99</v>
      </c>
      <c r="B65" s="101">
        <v>1</v>
      </c>
      <c r="C65" s="475"/>
      <c r="D65" s="478"/>
      <c r="E65" s="152">
        <v>2</v>
      </c>
      <c r="F65" s="111">
        <v>0.50609999999999999</v>
      </c>
      <c r="G65" s="230">
        <f>IF(ISBLANK(F65),"-",(F65/$D$50*$D$47*$B$68)*($B$57/$D$64))</f>
        <v>190.50547033438394</v>
      </c>
      <c r="H65" s="157">
        <f t="shared" si="0"/>
        <v>0.95252735167191971</v>
      </c>
      <c r="J65" s="190"/>
      <c r="K65" s="190"/>
    </row>
    <row r="66" spans="1:11" ht="26.25" customHeight="1" x14ac:dyDescent="0.45">
      <c r="A66" s="100" t="s">
        <v>100</v>
      </c>
      <c r="B66" s="101">
        <v>1</v>
      </c>
      <c r="C66" s="475"/>
      <c r="D66" s="478"/>
      <c r="E66" s="152">
        <v>3</v>
      </c>
      <c r="F66" s="111">
        <v>0.50629999999999997</v>
      </c>
      <c r="G66" s="230">
        <f>IF(ISBLANK(F66),"-",(F66/$D$50*$D$47*$B$68)*($B$57/$D$64))</f>
        <v>190.58075406105232</v>
      </c>
      <c r="H66" s="157">
        <f t="shared" si="0"/>
        <v>0.95290377030526163</v>
      </c>
    </row>
    <row r="67" spans="1:11" ht="27" customHeight="1" x14ac:dyDescent="0.45">
      <c r="A67" s="100" t="s">
        <v>101</v>
      </c>
      <c r="B67" s="101">
        <v>1</v>
      </c>
      <c r="C67" s="476"/>
      <c r="D67" s="479"/>
      <c r="E67" s="154">
        <v>4</v>
      </c>
      <c r="F67" s="155"/>
      <c r="G67" s="231" t="str">
        <f>IF(ISBLANK(F67),"-",(F67/$D$50*$D$47*$B$68)*($B$57/$D$64))</f>
        <v>-</v>
      </c>
      <c r="H67" s="158" t="str">
        <f t="shared" si="0"/>
        <v>-</v>
      </c>
    </row>
    <row r="68" spans="1:11" ht="26.25" customHeight="1" x14ac:dyDescent="0.5">
      <c r="A68" s="100" t="s">
        <v>102</v>
      </c>
      <c r="B68" s="159">
        <f>(B67/B66)*(B65/B64)*(B63/B62)*(B61/B60)*B59</f>
        <v>10000</v>
      </c>
      <c r="C68" s="474" t="s">
        <v>103</v>
      </c>
      <c r="D68" s="477">
        <v>149.36000000000001</v>
      </c>
      <c r="E68" s="149">
        <v>1</v>
      </c>
      <c r="F68" s="150">
        <v>0.52959999999999996</v>
      </c>
      <c r="G68" s="229">
        <f>IF(ISBLANK(F68),"-",(F68/$D$50*$D$47*$B$68)*($B$57/$D$68))</f>
        <v>193.54534818345405</v>
      </c>
      <c r="H68" s="153">
        <f t="shared" si="0"/>
        <v>0.96772674091727029</v>
      </c>
    </row>
    <row r="69" spans="1:11" ht="27" customHeight="1" x14ac:dyDescent="0.5">
      <c r="A69" s="139" t="s">
        <v>104</v>
      </c>
      <c r="B69" s="160">
        <f>(D47*B68)/B56*B57</f>
        <v>143.13274999999999</v>
      </c>
      <c r="C69" s="475"/>
      <c r="D69" s="478"/>
      <c r="E69" s="152">
        <v>2</v>
      </c>
      <c r="F69" s="111">
        <v>0.52969999999999995</v>
      </c>
      <c r="G69" s="230">
        <f>IF(ISBLANK(F69),"-",(F69/$D$50*$D$47*$B$68)*($B$57/$D$68))</f>
        <v>193.58189375524091</v>
      </c>
      <c r="H69" s="153">
        <f t="shared" si="0"/>
        <v>0.96790946877620454</v>
      </c>
    </row>
    <row r="70" spans="1:11" ht="26.25" customHeight="1" x14ac:dyDescent="0.45">
      <c r="A70" s="487" t="s">
        <v>78</v>
      </c>
      <c r="B70" s="488"/>
      <c r="C70" s="475"/>
      <c r="D70" s="478"/>
      <c r="E70" s="152">
        <v>3</v>
      </c>
      <c r="F70" s="111">
        <v>0.52990000000000004</v>
      </c>
      <c r="G70" s="230">
        <f>IF(ISBLANK(F70),"-",(F70/$D$50*$D$47*$B$68)*($B$57/$D$68))</f>
        <v>193.6549848988148</v>
      </c>
      <c r="H70" s="153">
        <f t="shared" si="0"/>
        <v>0.96827492449407404</v>
      </c>
    </row>
    <row r="71" spans="1:11" ht="27" customHeight="1" x14ac:dyDescent="0.45">
      <c r="A71" s="489"/>
      <c r="B71" s="490"/>
      <c r="C71" s="486"/>
      <c r="D71" s="479"/>
      <c r="E71" s="154">
        <v>4</v>
      </c>
      <c r="F71" s="155"/>
      <c r="G71" s="231" t="str">
        <f>IF(ISBLANK(F71),"-",(F71/$D$50*$D$47*$B$68)*($B$57/$D$68))</f>
        <v>-</v>
      </c>
      <c r="H71" s="161" t="str">
        <f t="shared" si="0"/>
        <v>-</v>
      </c>
    </row>
    <row r="72" spans="1:11" ht="26.25" customHeight="1" x14ac:dyDescent="0.45">
      <c r="A72" s="162"/>
      <c r="B72" s="162"/>
      <c r="C72" s="162"/>
      <c r="D72" s="162"/>
      <c r="E72" s="162"/>
      <c r="F72" s="164" t="s">
        <v>71</v>
      </c>
      <c r="G72" s="236">
        <f>AVERAGE(G60:G71)</f>
        <v>191.65818871414999</v>
      </c>
      <c r="H72" s="165">
        <f>AVERAGE(H60:H71)</f>
        <v>0.95829094357074984</v>
      </c>
    </row>
    <row r="73" spans="1:11" ht="26.25" customHeight="1" x14ac:dyDescent="0.45">
      <c r="C73" s="162"/>
      <c r="D73" s="162"/>
      <c r="E73" s="162"/>
      <c r="F73" s="166" t="s">
        <v>84</v>
      </c>
      <c r="G73" s="232">
        <f>STDEV(G60:G71)/G72</f>
        <v>7.7327589052591187E-3</v>
      </c>
      <c r="H73" s="232">
        <f>STDEV(H60:H71)/H72</f>
        <v>7.7327589052591274E-3</v>
      </c>
    </row>
    <row r="74" spans="1:11" ht="27" customHeight="1" x14ac:dyDescent="0.45">
      <c r="A74" s="162"/>
      <c r="B74" s="162"/>
      <c r="C74" s="163"/>
      <c r="D74" s="163"/>
      <c r="E74" s="167"/>
      <c r="F74" s="168" t="s">
        <v>20</v>
      </c>
      <c r="G74" s="169">
        <f>COUNT(G60:G71)</f>
        <v>9</v>
      </c>
      <c r="H74" s="169">
        <f>COUNT(H60:H71)</f>
        <v>9</v>
      </c>
    </row>
    <row r="76" spans="1:11" ht="26.25" customHeight="1" x14ac:dyDescent="0.45">
      <c r="A76" s="84" t="s">
        <v>105</v>
      </c>
      <c r="B76" s="170" t="s">
        <v>106</v>
      </c>
      <c r="C76" s="482" t="str">
        <f>B26</f>
        <v>MIFEPRISTONE</v>
      </c>
      <c r="D76" s="482"/>
      <c r="E76" s="171" t="s">
        <v>107</v>
      </c>
      <c r="F76" s="171"/>
      <c r="G76" s="172">
        <f>H72</f>
        <v>0.95829094357074984</v>
      </c>
      <c r="H76" s="173"/>
    </row>
    <row r="77" spans="1:11" ht="18" x14ac:dyDescent="0.35">
      <c r="A77" s="83" t="s">
        <v>108</v>
      </c>
      <c r="B77" s="83" t="s">
        <v>109</v>
      </c>
    </row>
    <row r="78" spans="1:11" ht="18" x14ac:dyDescent="0.35">
      <c r="A78" s="83"/>
      <c r="B78" s="83"/>
    </row>
    <row r="79" spans="1:11" ht="26.25" customHeight="1" x14ac:dyDescent="0.45">
      <c r="A79" s="84" t="s">
        <v>4</v>
      </c>
      <c r="B79" s="174" t="str">
        <f>B26</f>
        <v>MIFEPRISTONE</v>
      </c>
      <c r="C79" s="190"/>
    </row>
    <row r="80" spans="1:11" ht="26.25" customHeight="1" x14ac:dyDescent="0.45">
      <c r="A80" s="85" t="s">
        <v>48</v>
      </c>
      <c r="B80" s="174" t="str">
        <f>B27</f>
        <v>M26-1</v>
      </c>
      <c r="C80" s="190"/>
    </row>
    <row r="81" spans="1:12" ht="27" customHeight="1" x14ac:dyDescent="0.45">
      <c r="A81" s="85" t="s">
        <v>6</v>
      </c>
      <c r="B81" s="174">
        <f>B28</f>
        <v>99.26</v>
      </c>
    </row>
    <row r="82" spans="1:12" s="12" customFormat="1" ht="27" customHeight="1" x14ac:dyDescent="0.5">
      <c r="A82" s="85" t="s">
        <v>49</v>
      </c>
      <c r="B82" s="87">
        <v>0</v>
      </c>
      <c r="C82" s="459" t="s">
        <v>50</v>
      </c>
      <c r="D82" s="460"/>
      <c r="E82" s="460"/>
      <c r="F82" s="460"/>
      <c r="G82" s="461"/>
      <c r="H82" s="190"/>
      <c r="I82" s="88"/>
      <c r="J82" s="88"/>
      <c r="K82" s="88"/>
      <c r="L82" s="88"/>
    </row>
    <row r="83" spans="1:12" s="12" customFormat="1" ht="19.5" customHeight="1" x14ac:dyDescent="0.35">
      <c r="A83" s="85" t="s">
        <v>51</v>
      </c>
      <c r="B83" s="89">
        <f>B81-B82</f>
        <v>99.26</v>
      </c>
      <c r="C83" s="90"/>
      <c r="D83" s="90"/>
      <c r="E83" s="90"/>
      <c r="F83" s="90"/>
      <c r="G83" s="91"/>
      <c r="H83" s="190"/>
      <c r="I83" s="88"/>
      <c r="J83" s="88"/>
      <c r="K83" s="88"/>
      <c r="L83" s="88"/>
    </row>
    <row r="84" spans="1:12" s="12" customFormat="1" ht="27" customHeight="1" x14ac:dyDescent="0.45">
      <c r="A84" s="85" t="s">
        <v>52</v>
      </c>
      <c r="B84" s="92">
        <v>1</v>
      </c>
      <c r="C84" s="462" t="s">
        <v>110</v>
      </c>
      <c r="D84" s="463"/>
      <c r="E84" s="463"/>
      <c r="F84" s="463"/>
      <c r="G84" s="463"/>
      <c r="H84" s="464"/>
      <c r="I84" s="88"/>
      <c r="J84" s="88"/>
      <c r="K84" s="88"/>
      <c r="L84" s="88"/>
    </row>
    <row r="85" spans="1:12" s="12" customFormat="1" ht="27" customHeight="1" x14ac:dyDescent="0.45">
      <c r="A85" s="85" t="s">
        <v>54</v>
      </c>
      <c r="B85" s="92">
        <v>1</v>
      </c>
      <c r="C85" s="462" t="s">
        <v>111</v>
      </c>
      <c r="D85" s="463"/>
      <c r="E85" s="463"/>
      <c r="F85" s="463"/>
      <c r="G85" s="463"/>
      <c r="H85" s="464"/>
      <c r="I85" s="88"/>
      <c r="J85" s="88"/>
      <c r="K85" s="88"/>
      <c r="L85" s="88"/>
    </row>
    <row r="86" spans="1:12" s="12" customFormat="1" ht="18" x14ac:dyDescent="0.35">
      <c r="A86" s="85"/>
      <c r="B86" s="95"/>
      <c r="C86" s="96"/>
      <c r="D86" s="96"/>
      <c r="E86" s="96"/>
      <c r="F86" s="96"/>
      <c r="G86" s="96"/>
      <c r="H86" s="190"/>
      <c r="I86" s="88"/>
      <c r="J86" s="88"/>
      <c r="K86" s="88"/>
      <c r="L86" s="88"/>
    </row>
    <row r="87" spans="1:12" s="12" customFormat="1" ht="18" x14ac:dyDescent="0.35">
      <c r="A87" s="85" t="s">
        <v>56</v>
      </c>
      <c r="B87" s="97">
        <f>B84/B85</f>
        <v>1</v>
      </c>
      <c r="C87" s="75" t="s">
        <v>57</v>
      </c>
      <c r="D87" s="75"/>
      <c r="E87" s="75"/>
      <c r="F87" s="75"/>
      <c r="G87" s="75"/>
      <c r="H87" s="190"/>
      <c r="I87" s="88"/>
      <c r="J87" s="88"/>
      <c r="K87" s="88"/>
      <c r="L87" s="88"/>
    </row>
    <row r="88" spans="1:12" ht="19.5" customHeight="1" x14ac:dyDescent="0.35">
      <c r="A88" s="83"/>
      <c r="B88" s="83"/>
    </row>
    <row r="89" spans="1:12" ht="27" customHeight="1" x14ac:dyDescent="0.45">
      <c r="A89" s="98" t="s">
        <v>58</v>
      </c>
      <c r="B89" s="99">
        <v>100</v>
      </c>
      <c r="D89" s="175" t="s">
        <v>59</v>
      </c>
      <c r="E89" s="176"/>
      <c r="F89" s="465" t="s">
        <v>60</v>
      </c>
      <c r="G89" s="467"/>
    </row>
    <row r="90" spans="1:12" ht="27" customHeight="1" x14ac:dyDescent="0.45">
      <c r="A90" s="100" t="s">
        <v>61</v>
      </c>
      <c r="B90" s="101">
        <v>4</v>
      </c>
      <c r="C90" s="177" t="s">
        <v>152</v>
      </c>
      <c r="D90" s="103" t="s">
        <v>63</v>
      </c>
      <c r="E90" s="104" t="s">
        <v>64</v>
      </c>
      <c r="F90" s="103" t="s">
        <v>63</v>
      </c>
      <c r="G90" s="178" t="s">
        <v>64</v>
      </c>
      <c r="I90" s="106" t="s">
        <v>65</v>
      </c>
    </row>
    <row r="91" spans="1:12" ht="26.25" customHeight="1" x14ac:dyDescent="0.45">
      <c r="A91" s="100" t="s">
        <v>66</v>
      </c>
      <c r="B91" s="101">
        <v>50</v>
      </c>
      <c r="C91" s="179">
        <v>1</v>
      </c>
      <c r="D91" s="108">
        <v>0.59940000000000004</v>
      </c>
      <c r="E91" s="233">
        <f>IF(ISBLANK(D91),"-",$D$101/$D$98*D91)</f>
        <v>0.60194241212725363</v>
      </c>
      <c r="F91" s="524">
        <v>0.57669999999999999</v>
      </c>
      <c r="G91" s="517">
        <f>IF(ISBLANK(F91),"-",$D$101/$F$98*F91)</f>
        <v>0.62112400633621867</v>
      </c>
      <c r="I91" s="109"/>
    </row>
    <row r="92" spans="1:12" ht="26.25" customHeight="1" x14ac:dyDescent="0.45">
      <c r="A92" s="100" t="s">
        <v>67</v>
      </c>
      <c r="B92" s="101">
        <v>1</v>
      </c>
      <c r="C92" s="163">
        <v>2</v>
      </c>
      <c r="D92" s="111">
        <v>0.60270000000000001</v>
      </c>
      <c r="E92" s="234">
        <f>IF(ISBLANK(D92),"-",$D$101/$D$98*D92)</f>
        <v>0.6052564093912175</v>
      </c>
      <c r="F92" s="516">
        <v>0.58099999999999996</v>
      </c>
      <c r="G92" s="518">
        <f>IF(ISBLANK(F92),"-",$D$101/$F$98*F92)</f>
        <v>0.62575524134097971</v>
      </c>
      <c r="I92" s="469">
        <f>ABS((F96/D96*D95)-F95)/D95</f>
        <v>3.0892604639137244E-2</v>
      </c>
    </row>
    <row r="93" spans="1:12" ht="26.25" customHeight="1" x14ac:dyDescent="0.45">
      <c r="A93" s="100" t="s">
        <v>68</v>
      </c>
      <c r="B93" s="101">
        <v>1</v>
      </c>
      <c r="C93" s="163">
        <v>3</v>
      </c>
      <c r="D93" s="111">
        <v>0.59670000000000001</v>
      </c>
      <c r="E93" s="234">
        <f>IF(ISBLANK(D93),"-",$D$101/$D$98*D93)</f>
        <v>0.59923095982037411</v>
      </c>
      <c r="F93" s="516">
        <v>0.57509999999999994</v>
      </c>
      <c r="G93" s="518">
        <f>IF(ISBLANK(F93),"-",$D$101/$F$98*F93)</f>
        <v>0.61940075610188894</v>
      </c>
      <c r="I93" s="469"/>
    </row>
    <row r="94" spans="1:12" ht="27" customHeight="1" x14ac:dyDescent="0.45">
      <c r="A94" s="100" t="s">
        <v>69</v>
      </c>
      <c r="B94" s="101">
        <v>1</v>
      </c>
      <c r="C94" s="180">
        <v>4</v>
      </c>
      <c r="D94" s="114"/>
      <c r="E94" s="235" t="str">
        <f>IF(ISBLANK(D94),"-",$D$101/$D$98*D94)</f>
        <v>-</v>
      </c>
      <c r="F94" s="181"/>
      <c r="G94" s="115" t="str">
        <f>IF(ISBLANK(F94),"-",$D$101/$F$98*F94)</f>
        <v>-</v>
      </c>
      <c r="I94" s="116"/>
    </row>
    <row r="95" spans="1:12" ht="27" customHeight="1" x14ac:dyDescent="0.45">
      <c r="A95" s="100" t="s">
        <v>70</v>
      </c>
      <c r="B95" s="101">
        <v>1</v>
      </c>
      <c r="C95" s="182" t="s">
        <v>71</v>
      </c>
      <c r="D95" s="525">
        <f>AVERAGE(D91:D94)</f>
        <v>0.59960000000000002</v>
      </c>
      <c r="E95" s="526">
        <f>AVERAGE(E91:E94)</f>
        <v>0.60214326044628175</v>
      </c>
      <c r="F95" s="527">
        <f>AVERAGE(F91:F94)</f>
        <v>0.5776</v>
      </c>
      <c r="G95" s="528">
        <f>AVERAGE(G91:G94)</f>
        <v>0.62209333459302918</v>
      </c>
    </row>
    <row r="96" spans="1:12" ht="26.25" customHeight="1" x14ac:dyDescent="0.45">
      <c r="A96" s="100" t="s">
        <v>72</v>
      </c>
      <c r="B96" s="86">
        <v>1</v>
      </c>
      <c r="C96" s="183" t="s">
        <v>112</v>
      </c>
      <c r="D96" s="184">
        <v>16.72</v>
      </c>
      <c r="E96" s="112"/>
      <c r="F96" s="120">
        <v>15.59</v>
      </c>
    </row>
    <row r="97" spans="1:10" ht="26.25" customHeight="1" x14ac:dyDescent="0.45">
      <c r="A97" s="100" t="s">
        <v>74</v>
      </c>
      <c r="B97" s="86">
        <v>1</v>
      </c>
      <c r="C97" s="185" t="s">
        <v>113</v>
      </c>
      <c r="D97" s="186">
        <f>D96*$B$87</f>
        <v>16.72</v>
      </c>
      <c r="E97" s="123"/>
      <c r="F97" s="122">
        <f>F96*$B$87</f>
        <v>15.59</v>
      </c>
    </row>
    <row r="98" spans="1:10" ht="19.5" customHeight="1" x14ac:dyDescent="0.35">
      <c r="A98" s="100" t="s">
        <v>76</v>
      </c>
      <c r="B98" s="187">
        <f>(B97/B96)*(B95/B94)*(B93/B92)*(B91/B90)*B89</f>
        <v>1250</v>
      </c>
      <c r="C98" s="185" t="s">
        <v>114</v>
      </c>
      <c r="D98" s="188">
        <f>D97*$B$83/100</f>
        <v>16.596271999999999</v>
      </c>
      <c r="E98" s="126"/>
      <c r="F98" s="125">
        <f>F97*$B$83/100</f>
        <v>15.474634000000002</v>
      </c>
    </row>
    <row r="99" spans="1:10" ht="19.5" customHeight="1" x14ac:dyDescent="0.35">
      <c r="A99" s="470" t="s">
        <v>78</v>
      </c>
      <c r="B99" s="484"/>
      <c r="C99" s="185" t="s">
        <v>115</v>
      </c>
      <c r="D99" s="189">
        <f>D98/$B$98</f>
        <v>1.32770176E-2</v>
      </c>
      <c r="E99" s="126"/>
      <c r="F99" s="129">
        <f>F98/$B$98</f>
        <v>1.2379707200000001E-2</v>
      </c>
      <c r="G99" s="190"/>
      <c r="H99" s="118"/>
    </row>
    <row r="100" spans="1:10" ht="19.5" customHeight="1" x14ac:dyDescent="0.35">
      <c r="A100" s="472"/>
      <c r="B100" s="485"/>
      <c r="C100" s="185" t="s">
        <v>80</v>
      </c>
      <c r="D100" s="191">
        <f>$B$56/$B$116</f>
        <v>1.3333333333333332E-2</v>
      </c>
      <c r="F100" s="134"/>
      <c r="G100" s="192"/>
      <c r="H100" s="118"/>
    </row>
    <row r="101" spans="1:10" ht="18" x14ac:dyDescent="0.35">
      <c r="C101" s="185" t="s">
        <v>81</v>
      </c>
      <c r="D101" s="186">
        <f>D100*$B$98</f>
        <v>16.666666666666664</v>
      </c>
      <c r="F101" s="134"/>
      <c r="G101" s="190"/>
      <c r="H101" s="118"/>
    </row>
    <row r="102" spans="1:10" ht="19.5" customHeight="1" x14ac:dyDescent="0.35">
      <c r="C102" s="193" t="s">
        <v>82</v>
      </c>
      <c r="D102" s="194">
        <f>D101/B34</f>
        <v>16.666666666666664</v>
      </c>
      <c r="F102" s="530"/>
      <c r="G102" s="190"/>
      <c r="H102" s="118"/>
      <c r="J102" s="195"/>
    </row>
    <row r="103" spans="1:10" ht="18" x14ac:dyDescent="0.35">
      <c r="C103" s="196" t="s">
        <v>116</v>
      </c>
      <c r="D103" s="529">
        <f>AVERAGE(E91:E94,G91:G94)</f>
        <v>0.61211829751965541</v>
      </c>
      <c r="F103" s="137"/>
      <c r="G103" s="197"/>
      <c r="H103" s="118"/>
      <c r="J103" s="198"/>
    </row>
    <row r="104" spans="1:10" ht="18" x14ac:dyDescent="0.35">
      <c r="C104" s="166" t="s">
        <v>84</v>
      </c>
      <c r="D104" s="199">
        <f>STDEV(E91:E94,G91:G94)/D103</f>
        <v>1.8436915928783059E-2</v>
      </c>
      <c r="F104" s="137"/>
      <c r="G104" s="190"/>
      <c r="H104" s="118"/>
      <c r="J104" s="198"/>
    </row>
    <row r="105" spans="1:10" ht="19.5" customHeight="1" x14ac:dyDescent="0.35">
      <c r="C105" s="168" t="s">
        <v>20</v>
      </c>
      <c r="D105" s="200">
        <f>COUNT(E91:E94,G91:G94)</f>
        <v>6</v>
      </c>
      <c r="F105" s="137"/>
      <c r="G105" s="190"/>
      <c r="H105" s="118"/>
      <c r="J105" s="198"/>
    </row>
    <row r="106" spans="1:10" ht="19.5" customHeight="1" x14ac:dyDescent="0.35">
      <c r="A106" s="141"/>
      <c r="B106" s="141"/>
      <c r="C106" s="141"/>
      <c r="D106" s="141"/>
      <c r="E106" s="141"/>
    </row>
    <row r="107" spans="1:10" ht="26.25" customHeight="1" x14ac:dyDescent="0.45">
      <c r="A107" s="98" t="s">
        <v>117</v>
      </c>
      <c r="B107" s="99">
        <v>900</v>
      </c>
      <c r="C107" s="201" t="s">
        <v>127</v>
      </c>
      <c r="D107" s="202" t="s">
        <v>63</v>
      </c>
      <c r="E107" s="203" t="s">
        <v>118</v>
      </c>
      <c r="F107" s="204" t="s">
        <v>119</v>
      </c>
    </row>
    <row r="108" spans="1:10" ht="26.25" customHeight="1" x14ac:dyDescent="0.45">
      <c r="A108" s="100" t="s">
        <v>120</v>
      </c>
      <c r="B108" s="101">
        <v>3</v>
      </c>
      <c r="C108" s="205">
        <v>1</v>
      </c>
      <c r="D108" s="531">
        <v>0.57450000000000001</v>
      </c>
      <c r="E108" s="233">
        <f t="shared" ref="E108:E113" si="1">IF(ISBLANK(D108),"-",D108/$D$103*$D$100*$B$116)</f>
        <v>187.70881456343088</v>
      </c>
      <c r="F108" s="206">
        <f t="shared" ref="F108:F113" si="2">IF(ISBLANK(D108), "-", E108/$B$56)</f>
        <v>0.93854407281715435</v>
      </c>
    </row>
    <row r="109" spans="1:10" ht="26.25" customHeight="1" x14ac:dyDescent="0.45">
      <c r="A109" s="100" t="s">
        <v>94</v>
      </c>
      <c r="B109" s="101">
        <v>50</v>
      </c>
      <c r="C109" s="205">
        <v>2</v>
      </c>
      <c r="D109" s="531">
        <v>0.58830000000000005</v>
      </c>
      <c r="E109" s="234">
        <f t="shared" si="1"/>
        <v>192.2177469237013</v>
      </c>
      <c r="F109" s="207">
        <f t="shared" si="2"/>
        <v>0.96108873461850652</v>
      </c>
    </row>
    <row r="110" spans="1:10" ht="26.25" customHeight="1" x14ac:dyDescent="0.45">
      <c r="A110" s="100" t="s">
        <v>95</v>
      </c>
      <c r="B110" s="101">
        <v>1</v>
      </c>
      <c r="C110" s="205">
        <v>3</v>
      </c>
      <c r="D110" s="531">
        <v>0.59799999999999998</v>
      </c>
      <c r="E110" s="234">
        <f t="shared" si="1"/>
        <v>195.38706894505074</v>
      </c>
      <c r="F110" s="207">
        <f t="shared" si="2"/>
        <v>0.97693534472525367</v>
      </c>
    </row>
    <row r="111" spans="1:10" ht="26.25" customHeight="1" x14ac:dyDescent="0.45">
      <c r="A111" s="100" t="s">
        <v>96</v>
      </c>
      <c r="B111" s="101">
        <v>1</v>
      </c>
      <c r="C111" s="205">
        <v>4</v>
      </c>
      <c r="D111" s="531">
        <v>0.58460000000000001</v>
      </c>
      <c r="E111" s="234">
        <f t="shared" si="1"/>
        <v>191.00883027638241</v>
      </c>
      <c r="F111" s="207">
        <f t="shared" si="2"/>
        <v>0.95504415138191201</v>
      </c>
    </row>
    <row r="112" spans="1:10" ht="26.25" customHeight="1" x14ac:dyDescent="0.45">
      <c r="A112" s="100" t="s">
        <v>97</v>
      </c>
      <c r="B112" s="101">
        <v>1</v>
      </c>
      <c r="C112" s="205">
        <v>5</v>
      </c>
      <c r="D112" s="531">
        <v>0.57320000000000004</v>
      </c>
      <c r="E112" s="234">
        <f t="shared" si="1"/>
        <v>187.28406006572425</v>
      </c>
      <c r="F112" s="207">
        <f t="shared" si="2"/>
        <v>0.93642030032862122</v>
      </c>
    </row>
    <row r="113" spans="1:10" ht="26.25" customHeight="1" x14ac:dyDescent="0.45">
      <c r="A113" s="100" t="s">
        <v>99</v>
      </c>
      <c r="B113" s="101">
        <v>1</v>
      </c>
      <c r="C113" s="208">
        <v>6</v>
      </c>
      <c r="D113" s="532">
        <v>0.58599999999999997</v>
      </c>
      <c r="E113" s="235">
        <f t="shared" si="1"/>
        <v>191.46625819698954</v>
      </c>
      <c r="F113" s="209">
        <f t="shared" si="2"/>
        <v>0.95733129098494774</v>
      </c>
    </row>
    <row r="114" spans="1:10" ht="26.25" customHeight="1" x14ac:dyDescent="0.45">
      <c r="A114" s="100" t="s">
        <v>100</v>
      </c>
      <c r="B114" s="101">
        <v>1</v>
      </c>
      <c r="C114" s="205"/>
      <c r="D114" s="163"/>
      <c r="E114" s="74"/>
      <c r="F114" s="210"/>
    </row>
    <row r="115" spans="1:10" ht="26.25" customHeight="1" x14ac:dyDescent="0.45">
      <c r="A115" s="100" t="s">
        <v>101</v>
      </c>
      <c r="B115" s="101">
        <v>1</v>
      </c>
      <c r="C115" s="205"/>
      <c r="D115" s="533" t="s">
        <v>71</v>
      </c>
      <c r="E115" s="536">
        <f>AVERAGE(E108:E113)</f>
        <v>190.84546316187985</v>
      </c>
      <c r="F115" s="211">
        <f>AVERAGE(F108:F113)</f>
        <v>0.95422731580939935</v>
      </c>
    </row>
    <row r="116" spans="1:10" ht="27" customHeight="1" x14ac:dyDescent="0.45">
      <c r="A116" s="100" t="s">
        <v>102</v>
      </c>
      <c r="B116" s="124">
        <f>(B115/B114)*(B113/B112)*(B111/B110)*(B109/B108)*B107</f>
        <v>15000.000000000002</v>
      </c>
      <c r="C116" s="212"/>
      <c r="D116" s="534" t="s">
        <v>84</v>
      </c>
      <c r="E116" s="537">
        <f>STDEV(E108:E113)/E115</f>
        <v>1.5796810725838595E-2</v>
      </c>
      <c r="F116" s="213">
        <f>STDEV(F108:F113)/F115</f>
        <v>1.5796810725838595E-2</v>
      </c>
      <c r="I116" s="74"/>
    </row>
    <row r="117" spans="1:10" ht="27" customHeight="1" x14ac:dyDescent="0.45">
      <c r="A117" s="470" t="s">
        <v>78</v>
      </c>
      <c r="B117" s="471"/>
      <c r="C117" s="214"/>
      <c r="D117" s="535" t="s">
        <v>20</v>
      </c>
      <c r="E117" s="538">
        <f>COUNT(E108:E113)</f>
        <v>6</v>
      </c>
      <c r="F117" s="215">
        <f>COUNT(F108:F113)</f>
        <v>6</v>
      </c>
      <c r="I117" s="74"/>
      <c r="J117" s="198"/>
    </row>
    <row r="118" spans="1:10" ht="19.5" customHeight="1" x14ac:dyDescent="0.35">
      <c r="A118" s="472"/>
      <c r="B118" s="473"/>
      <c r="C118" s="74"/>
      <c r="D118" s="74"/>
      <c r="E118" s="74"/>
      <c r="F118" s="163"/>
      <c r="G118" s="74"/>
      <c r="H118" s="74"/>
      <c r="I118" s="74"/>
    </row>
    <row r="119" spans="1:10" ht="18" x14ac:dyDescent="0.35">
      <c r="A119" s="224"/>
      <c r="B119" s="96"/>
      <c r="C119" s="74"/>
      <c r="D119" s="74"/>
      <c r="E119" s="74"/>
      <c r="F119" s="163"/>
      <c r="G119" s="74"/>
      <c r="H119" s="74"/>
      <c r="I119" s="74"/>
    </row>
    <row r="120" spans="1:10" ht="26.25" customHeight="1" x14ac:dyDescent="0.45">
      <c r="A120" s="84" t="s">
        <v>105</v>
      </c>
      <c r="B120" s="170" t="s">
        <v>121</v>
      </c>
      <c r="C120" s="482" t="str">
        <f>B79</f>
        <v>MIFEPRISTONE</v>
      </c>
      <c r="D120" s="482"/>
      <c r="E120" s="171" t="s">
        <v>122</v>
      </c>
      <c r="F120" s="171"/>
      <c r="G120" s="172">
        <f>F115</f>
        <v>0.95422731580939935</v>
      </c>
      <c r="H120" s="74"/>
      <c r="I120" s="74"/>
    </row>
    <row r="121" spans="1:10" ht="19.5" customHeight="1" x14ac:dyDescent="0.35">
      <c r="A121" s="216"/>
      <c r="B121" s="216"/>
      <c r="C121" s="217"/>
      <c r="D121" s="217"/>
      <c r="E121" s="217"/>
      <c r="F121" s="217"/>
      <c r="G121" s="217"/>
      <c r="H121" s="217"/>
    </row>
    <row r="122" spans="1:10" ht="18" x14ac:dyDescent="0.35">
      <c r="B122" s="483" t="s">
        <v>26</v>
      </c>
      <c r="C122" s="483"/>
      <c r="E122" s="177" t="s">
        <v>27</v>
      </c>
      <c r="F122" s="218"/>
      <c r="G122" s="483" t="s">
        <v>28</v>
      </c>
      <c r="H122" s="483"/>
    </row>
    <row r="123" spans="1:10" ht="41.25" customHeight="1" x14ac:dyDescent="0.35">
      <c r="A123" s="219" t="s">
        <v>29</v>
      </c>
      <c r="B123" s="220"/>
      <c r="C123" s="220"/>
      <c r="E123" s="220"/>
      <c r="F123" s="74"/>
      <c r="G123" s="221"/>
      <c r="H123" s="221"/>
    </row>
    <row r="124" spans="1:10" ht="45.75" customHeight="1" x14ac:dyDescent="0.35">
      <c r="A124" s="219" t="s">
        <v>30</v>
      </c>
      <c r="B124" s="222"/>
      <c r="C124" s="222"/>
      <c r="E124" s="222"/>
      <c r="F124" s="74"/>
      <c r="G124" s="223"/>
      <c r="H124" s="223"/>
    </row>
    <row r="125" spans="1:10" ht="18" x14ac:dyDescent="0.35">
      <c r="A125" s="162"/>
      <c r="B125" s="162"/>
      <c r="C125" s="163"/>
      <c r="D125" s="163"/>
      <c r="E125" s="163"/>
      <c r="F125" s="167"/>
      <c r="G125" s="163"/>
      <c r="H125" s="163"/>
      <c r="I125" s="74"/>
    </row>
    <row r="126" spans="1:10" ht="18" x14ac:dyDescent="0.35">
      <c r="A126" s="162"/>
      <c r="B126" s="162"/>
      <c r="C126" s="163"/>
      <c r="D126" s="163"/>
      <c r="E126" s="163"/>
      <c r="F126" s="167"/>
      <c r="G126" s="163"/>
      <c r="H126" s="163"/>
      <c r="I126" s="74"/>
    </row>
    <row r="127" spans="1:10" ht="18" x14ac:dyDescent="0.35">
      <c r="A127" s="162"/>
      <c r="B127" s="162"/>
      <c r="C127" s="163"/>
      <c r="D127" s="163"/>
      <c r="E127" s="163"/>
      <c r="F127" s="167"/>
      <c r="G127" s="163"/>
      <c r="H127" s="163"/>
      <c r="I127" s="74"/>
    </row>
    <row r="128" spans="1:10" ht="18" x14ac:dyDescent="0.35">
      <c r="A128" s="162"/>
      <c r="B128" s="162"/>
      <c r="C128" s="163"/>
      <c r="D128" s="163"/>
      <c r="E128" s="163"/>
      <c r="F128" s="167"/>
      <c r="G128" s="163"/>
      <c r="H128" s="163"/>
      <c r="I128" s="74"/>
    </row>
    <row r="129" spans="1:9" ht="18" x14ac:dyDescent="0.35">
      <c r="A129" s="162"/>
      <c r="B129" s="162"/>
      <c r="C129" s="163"/>
      <c r="D129" s="163"/>
      <c r="E129" s="163"/>
      <c r="F129" s="167"/>
      <c r="G129" s="163"/>
      <c r="H129" s="163"/>
      <c r="I129" s="74"/>
    </row>
    <row r="130" spans="1:9" ht="18" x14ac:dyDescent="0.35">
      <c r="A130" s="162"/>
      <c r="B130" s="162"/>
      <c r="C130" s="163"/>
      <c r="D130" s="163"/>
      <c r="E130" s="163"/>
      <c r="F130" s="167"/>
      <c r="G130" s="163"/>
      <c r="H130" s="163"/>
      <c r="I130" s="74"/>
    </row>
    <row r="131" spans="1:9" ht="18" x14ac:dyDescent="0.35">
      <c r="A131" s="162"/>
      <c r="B131" s="162"/>
      <c r="C131" s="163"/>
      <c r="D131" s="163"/>
      <c r="E131" s="163"/>
      <c r="F131" s="167"/>
      <c r="G131" s="163"/>
      <c r="H131" s="163"/>
      <c r="I131" s="74"/>
    </row>
    <row r="132" spans="1:9" ht="18" x14ac:dyDescent="0.35">
      <c r="A132" s="162"/>
      <c r="B132" s="162"/>
      <c r="C132" s="163"/>
      <c r="D132" s="163"/>
      <c r="E132" s="163"/>
      <c r="F132" s="167"/>
      <c r="G132" s="163"/>
      <c r="H132" s="163"/>
      <c r="I132" s="74"/>
    </row>
    <row r="133" spans="1:9" ht="18" x14ac:dyDescent="0.35">
      <c r="A133" s="162"/>
      <c r="B133" s="162"/>
      <c r="C133" s="163"/>
      <c r="D133" s="163"/>
      <c r="E133" s="163"/>
      <c r="F133" s="167"/>
      <c r="G133" s="163"/>
      <c r="H133" s="163"/>
      <c r="I133" s="74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2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C29:G29"/>
    <mergeCell ref="C31:H31"/>
    <mergeCell ref="C32:H32"/>
    <mergeCell ref="D36:E36"/>
    <mergeCell ref="F36:G36"/>
    <mergeCell ref="A16:H16"/>
    <mergeCell ref="A17:H17"/>
    <mergeCell ref="B18:C18"/>
    <mergeCell ref="B20:C20"/>
    <mergeCell ref="B21:H21"/>
  </mergeCells>
  <conditionalFormatting sqref="E51">
    <cfRule type="cellIs" dxfId="13" priority="1" operator="greaterThan">
      <formula>0.02</formula>
    </cfRule>
  </conditionalFormatting>
  <conditionalFormatting sqref="D51">
    <cfRule type="cellIs" dxfId="12" priority="2" operator="greaterThan">
      <formula>0.02</formula>
    </cfRule>
  </conditionalFormatting>
  <conditionalFormatting sqref="G73">
    <cfRule type="cellIs" dxfId="11" priority="3" operator="greaterThan">
      <formula>0.02</formula>
    </cfRule>
  </conditionalFormatting>
  <conditionalFormatting sqref="H73">
    <cfRule type="cellIs" dxfId="10" priority="4" operator="greaterThan">
      <formula>0.02</formula>
    </cfRule>
  </conditionalFormatting>
  <conditionalFormatting sqref="D104">
    <cfRule type="cellIs" dxfId="9" priority="5" operator="greaterThan">
      <formula>0.02</formula>
    </cfRule>
  </conditionalFormatting>
  <conditionalFormatting sqref="I39">
    <cfRule type="cellIs" dxfId="8" priority="6" operator="lessThanOrEqual">
      <formula>0.02</formula>
    </cfRule>
  </conditionalFormatting>
  <conditionalFormatting sqref="I39">
    <cfRule type="cellIs" dxfId="7" priority="7" operator="greaterThan">
      <formula>0.02</formula>
    </cfRule>
  </conditionalFormatting>
  <conditionalFormatting sqref="I92">
    <cfRule type="cellIs" dxfId="6" priority="8" operator="lessThanOrEqual">
      <formula>0.02</formula>
    </cfRule>
  </conditionalFormatting>
  <conditionalFormatting sqref="I92">
    <cfRule type="cellIs" dxfId="5" priority="9" operator="greaterThan">
      <formula>0.02</formula>
    </cfRule>
  </conditionalFormatting>
  <printOptions horizontalCentered="1"/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51"/>
  <sheetViews>
    <sheetView view="pageBreakPreview" topLeftCell="A26" zoomScaleNormal="100" zoomScaleSheetLayoutView="100" workbookViewId="0">
      <selection activeCell="C42" sqref="C42"/>
    </sheetView>
  </sheetViews>
  <sheetFormatPr defaultRowHeight="13.2" x14ac:dyDescent="0.25"/>
  <cols>
    <col min="1" max="1" width="17.33203125" style="39" customWidth="1"/>
    <col min="2" max="2" width="15.33203125" style="39" customWidth="1"/>
    <col min="3" max="3" width="17.5546875" style="39" customWidth="1"/>
    <col min="4" max="4" width="21.33203125" style="39" customWidth="1"/>
    <col min="5" max="5" width="8.88671875" style="39"/>
    <col min="6" max="6" width="12.109375" style="39" customWidth="1"/>
    <col min="7" max="16384" width="8.88671875" style="39"/>
  </cols>
  <sheetData>
    <row r="7" spans="1:6" ht="13.8" thickBot="1" x14ac:dyDescent="0.3"/>
    <row r="8" spans="1:6" ht="14.4" thickBot="1" x14ac:dyDescent="0.35">
      <c r="A8" s="447" t="s">
        <v>31</v>
      </c>
      <c r="B8" s="448"/>
      <c r="C8" s="448"/>
      <c r="D8" s="448"/>
      <c r="E8" s="448"/>
      <c r="F8" s="449"/>
    </row>
    <row r="9" spans="1:6" ht="15.6" x14ac:dyDescent="0.3">
      <c r="A9" s="443" t="s">
        <v>32</v>
      </c>
      <c r="B9" s="443"/>
      <c r="C9" s="443"/>
      <c r="D9" s="443"/>
      <c r="E9" s="443"/>
      <c r="F9" s="443"/>
    </row>
    <row r="10" spans="1:6" ht="13.8" x14ac:dyDescent="0.3">
      <c r="A10" s="1"/>
      <c r="B10" s="1"/>
      <c r="C10" s="1"/>
      <c r="D10" s="1"/>
      <c r="E10" s="1"/>
      <c r="F10" s="1"/>
    </row>
    <row r="11" spans="1:6" ht="15.6" x14ac:dyDescent="0.3">
      <c r="A11" s="442" t="s">
        <v>33</v>
      </c>
      <c r="B11" s="442"/>
      <c r="C11" s="239" t="s">
        <v>5</v>
      </c>
      <c r="D11" s="1"/>
      <c r="E11" s="1"/>
      <c r="F11" s="1"/>
    </row>
    <row r="12" spans="1:6" ht="15.6" x14ac:dyDescent="0.3">
      <c r="A12" s="442" t="s">
        <v>34</v>
      </c>
      <c r="B12" s="442"/>
      <c r="C12" s="239" t="s">
        <v>7</v>
      </c>
      <c r="D12" s="1"/>
      <c r="E12" s="1"/>
      <c r="F12" s="1"/>
    </row>
    <row r="13" spans="1:6" ht="15.6" x14ac:dyDescent="0.3">
      <c r="A13" s="442" t="s">
        <v>35</v>
      </c>
      <c r="B13" s="442"/>
      <c r="C13" s="239" t="s">
        <v>149</v>
      </c>
      <c r="D13" s="1"/>
      <c r="E13" s="1"/>
      <c r="F13" s="1"/>
    </row>
    <row r="14" spans="1:6" ht="30" customHeight="1" x14ac:dyDescent="0.3">
      <c r="A14" s="450" t="s">
        <v>36</v>
      </c>
      <c r="B14" s="450"/>
      <c r="C14" s="451" t="s">
        <v>148</v>
      </c>
      <c r="D14" s="451"/>
      <c r="E14" s="451"/>
      <c r="F14" s="451"/>
    </row>
    <row r="15" spans="1:6" ht="15.6" x14ac:dyDescent="0.3">
      <c r="A15" s="442" t="s">
        <v>37</v>
      </c>
      <c r="B15" s="442"/>
      <c r="C15" s="398" t="s">
        <v>12</v>
      </c>
      <c r="D15" s="1"/>
      <c r="E15" s="1"/>
      <c r="F15" s="1"/>
    </row>
    <row r="16" spans="1:6" ht="15.6" x14ac:dyDescent="0.3">
      <c r="A16" s="442" t="s">
        <v>38</v>
      </c>
      <c r="B16" s="442"/>
      <c r="C16" s="73"/>
      <c r="D16" s="1"/>
      <c r="E16" s="1"/>
      <c r="F16" s="1"/>
    </row>
    <row r="17" spans="1:6" ht="15.6" x14ac:dyDescent="0.3">
      <c r="A17" s="387"/>
      <c r="B17" s="387"/>
      <c r="C17" s="63"/>
      <c r="D17" s="1"/>
      <c r="E17" s="1"/>
      <c r="F17" s="1"/>
    </row>
    <row r="18" spans="1:6" ht="15.6" x14ac:dyDescent="0.3">
      <c r="A18" s="443" t="s">
        <v>1</v>
      </c>
      <c r="B18" s="443"/>
      <c r="C18" s="52" t="s">
        <v>39</v>
      </c>
      <c r="D18" s="55"/>
      <c r="E18" s="1"/>
      <c r="F18" s="1"/>
    </row>
    <row r="19" spans="1:6" ht="14.4" thickBot="1" x14ac:dyDescent="0.35">
      <c r="A19" s="444"/>
      <c r="B19" s="444"/>
      <c r="C19" s="50"/>
      <c r="D19" s="444"/>
      <c r="E19" s="444"/>
      <c r="F19" s="1"/>
    </row>
    <row r="20" spans="1:6" ht="31.8" thickBot="1" x14ac:dyDescent="0.35">
      <c r="A20" s="1"/>
      <c r="B20" s="1"/>
      <c r="C20" s="388" t="s">
        <v>40</v>
      </c>
      <c r="D20" s="389" t="s">
        <v>41</v>
      </c>
      <c r="E20" s="118"/>
      <c r="F20" s="1"/>
    </row>
    <row r="21" spans="1:6" ht="15.6" x14ac:dyDescent="0.3">
      <c r="A21" s="1"/>
      <c r="B21" s="395">
        <v>1</v>
      </c>
      <c r="C21" s="393">
        <v>288.47000000000003</v>
      </c>
      <c r="D21" s="390">
        <f>(C21-$C$43)/$C$43</f>
        <v>7.7008930520794609E-3</v>
      </c>
      <c r="E21" s="46"/>
      <c r="F21" s="1"/>
    </row>
    <row r="22" spans="1:6" ht="15.6" x14ac:dyDescent="0.3">
      <c r="A22" s="1"/>
      <c r="B22" s="396">
        <v>2</v>
      </c>
      <c r="C22" s="393">
        <v>283.57</v>
      </c>
      <c r="D22" s="391">
        <f t="shared" ref="D22:D40" si="0">(C22-$C$43)/$C$43</f>
        <v>-9.4160840199045345E-3</v>
      </c>
      <c r="E22" s="46"/>
      <c r="F22" s="1"/>
    </row>
    <row r="23" spans="1:6" ht="15.6" x14ac:dyDescent="0.3">
      <c r="A23" s="1"/>
      <c r="B23" s="396">
        <v>3</v>
      </c>
      <c r="C23" s="393">
        <v>284.79000000000002</v>
      </c>
      <c r="D23" s="391">
        <f t="shared" si="0"/>
        <v>-5.154306055043148E-3</v>
      </c>
      <c r="E23" s="46"/>
      <c r="F23" s="1"/>
    </row>
    <row r="24" spans="1:6" ht="15.6" x14ac:dyDescent="0.3">
      <c r="A24" s="1"/>
      <c r="B24" s="396">
        <v>4</v>
      </c>
      <c r="C24" s="393">
        <v>283.19</v>
      </c>
      <c r="D24" s="391">
        <f t="shared" si="0"/>
        <v>-1.0743523058140003E-2</v>
      </c>
      <c r="E24" s="46"/>
      <c r="F24" s="1"/>
    </row>
    <row r="25" spans="1:6" ht="15.6" x14ac:dyDescent="0.3">
      <c r="A25" s="1"/>
      <c r="B25" s="396">
        <v>5</v>
      </c>
      <c r="C25" s="393">
        <v>286.39999999999998</v>
      </c>
      <c r="D25" s="391">
        <f t="shared" si="0"/>
        <v>4.6984355432283227E-4</v>
      </c>
      <c r="E25" s="46"/>
      <c r="F25" s="1"/>
    </row>
    <row r="26" spans="1:6" ht="15.6" x14ac:dyDescent="0.3">
      <c r="A26" s="1"/>
      <c r="B26" s="396">
        <v>6</v>
      </c>
      <c r="C26" s="393">
        <v>287.08</v>
      </c>
      <c r="D26" s="391">
        <f t="shared" si="0"/>
        <v>2.8452607806389858E-3</v>
      </c>
      <c r="E26" s="46"/>
      <c r="F26" s="1"/>
    </row>
    <row r="27" spans="1:6" ht="15.6" x14ac:dyDescent="0.3">
      <c r="A27" s="1"/>
      <c r="B27" s="396">
        <v>7</v>
      </c>
      <c r="C27" s="393">
        <v>287.13</v>
      </c>
      <c r="D27" s="391">
        <f t="shared" si="0"/>
        <v>3.0199238119858001E-3</v>
      </c>
      <c r="E27" s="46"/>
      <c r="F27" s="1"/>
    </row>
    <row r="28" spans="1:6" ht="15.6" x14ac:dyDescent="0.3">
      <c r="A28" s="1"/>
      <c r="B28" s="396">
        <v>8</v>
      </c>
      <c r="C28" s="393">
        <v>293.17</v>
      </c>
      <c r="D28" s="391">
        <f t="shared" si="0"/>
        <v>2.4119217998676203E-2</v>
      </c>
      <c r="E28" s="46"/>
      <c r="F28" s="1"/>
    </row>
    <row r="29" spans="1:6" ht="15.6" x14ac:dyDescent="0.3">
      <c r="A29" s="1"/>
      <c r="B29" s="396">
        <v>9</v>
      </c>
      <c r="C29" s="393">
        <v>283.60000000000002</v>
      </c>
      <c r="D29" s="391">
        <f t="shared" si="0"/>
        <v>-9.3112862010963672E-3</v>
      </c>
      <c r="E29" s="46"/>
      <c r="F29" s="1"/>
    </row>
    <row r="30" spans="1:6" ht="15.6" x14ac:dyDescent="0.3">
      <c r="A30" s="1"/>
      <c r="B30" s="396">
        <v>10</v>
      </c>
      <c r="C30" s="393">
        <v>285.18</v>
      </c>
      <c r="D30" s="391">
        <f t="shared" si="0"/>
        <v>-3.7919344105383562E-3</v>
      </c>
      <c r="E30" s="46"/>
      <c r="F30" s="1"/>
    </row>
    <row r="31" spans="1:6" ht="15.6" x14ac:dyDescent="0.3">
      <c r="A31" s="1"/>
      <c r="B31" s="396">
        <v>11</v>
      </c>
      <c r="C31" s="393">
        <v>290</v>
      </c>
      <c r="D31" s="391">
        <f t="shared" si="0"/>
        <v>1.3045581811290658E-2</v>
      </c>
      <c r="E31" s="46"/>
      <c r="F31" s="1"/>
    </row>
    <row r="32" spans="1:6" ht="15.6" x14ac:dyDescent="0.3">
      <c r="A32" s="1"/>
      <c r="B32" s="396">
        <v>12</v>
      </c>
      <c r="C32" s="393">
        <v>287.12</v>
      </c>
      <c r="D32" s="391">
        <f t="shared" si="0"/>
        <v>2.9849912057164766E-3</v>
      </c>
      <c r="E32" s="46"/>
      <c r="F32" s="1"/>
    </row>
    <row r="33" spans="1:6" ht="15.6" x14ac:dyDescent="0.3">
      <c r="A33" s="1"/>
      <c r="B33" s="396">
        <v>13</v>
      </c>
      <c r="C33" s="393">
        <v>280.10000000000002</v>
      </c>
      <c r="D33" s="391">
        <f t="shared" si="0"/>
        <v>-2.1537698395370564E-2</v>
      </c>
      <c r="E33" s="46"/>
      <c r="F33" s="1"/>
    </row>
    <row r="34" spans="1:6" ht="15.6" x14ac:dyDescent="0.3">
      <c r="A34" s="1"/>
      <c r="B34" s="396">
        <v>14</v>
      </c>
      <c r="C34" s="393">
        <v>279.33</v>
      </c>
      <c r="D34" s="391">
        <f t="shared" si="0"/>
        <v>-2.4227509078111022E-2</v>
      </c>
      <c r="E34" s="46"/>
      <c r="F34" s="1"/>
    </row>
    <row r="35" spans="1:6" ht="15.6" x14ac:dyDescent="0.3">
      <c r="A35" s="1"/>
      <c r="B35" s="396">
        <v>15</v>
      </c>
      <c r="C35" s="393">
        <v>285.07</v>
      </c>
      <c r="D35" s="391">
        <f t="shared" si="0"/>
        <v>-4.1761930795013074E-3</v>
      </c>
      <c r="E35" s="46"/>
      <c r="F35" s="1"/>
    </row>
    <row r="36" spans="1:6" ht="15.6" x14ac:dyDescent="0.3">
      <c r="A36" s="1"/>
      <c r="B36" s="396">
        <v>16</v>
      </c>
      <c r="C36" s="393">
        <v>288.49</v>
      </c>
      <c r="D36" s="391">
        <f t="shared" si="0"/>
        <v>7.7707582646181069E-3</v>
      </c>
      <c r="E36" s="46"/>
      <c r="F36" s="1"/>
    </row>
    <row r="37" spans="1:6" ht="15.6" x14ac:dyDescent="0.3">
      <c r="A37" s="1"/>
      <c r="B37" s="396">
        <v>17</v>
      </c>
      <c r="C37" s="393">
        <v>287.24</v>
      </c>
      <c r="D37" s="391">
        <f t="shared" si="0"/>
        <v>3.4041824809487508E-3</v>
      </c>
      <c r="E37" s="46"/>
      <c r="F37" s="1"/>
    </row>
    <row r="38" spans="1:6" ht="15.6" x14ac:dyDescent="0.3">
      <c r="A38" s="1"/>
      <c r="B38" s="396">
        <v>18</v>
      </c>
      <c r="C38" s="393">
        <v>290.64</v>
      </c>
      <c r="D38" s="391">
        <f t="shared" si="0"/>
        <v>1.5281268612529321E-2</v>
      </c>
      <c r="E38" s="46"/>
      <c r="F38" s="1"/>
    </row>
    <row r="39" spans="1:6" ht="15.6" x14ac:dyDescent="0.3">
      <c r="A39" s="1"/>
      <c r="B39" s="396">
        <v>19</v>
      </c>
      <c r="C39" s="393">
        <v>284.39999999999998</v>
      </c>
      <c r="D39" s="391">
        <f t="shared" si="0"/>
        <v>-6.5166776995481375E-3</v>
      </c>
      <c r="E39" s="46"/>
      <c r="F39" s="1"/>
    </row>
    <row r="40" spans="1:6" ht="16.2" thickBot="1" x14ac:dyDescent="0.35">
      <c r="A40" s="1"/>
      <c r="B40" s="397">
        <v>20</v>
      </c>
      <c r="C40" s="394">
        <v>290.33999999999997</v>
      </c>
      <c r="D40" s="392">
        <f t="shared" si="0"/>
        <v>1.4233290424448635E-2</v>
      </c>
      <c r="E40" s="46"/>
      <c r="F40" s="1"/>
    </row>
    <row r="41" spans="1:6" ht="16.2" thickBot="1" x14ac:dyDescent="0.35">
      <c r="A41" s="1"/>
      <c r="B41" s="1"/>
      <c r="C41" s="47"/>
      <c r="D41" s="46"/>
      <c r="E41" s="48"/>
      <c r="F41" s="1"/>
    </row>
    <row r="42" spans="1:6" ht="16.2" thickBot="1" x14ac:dyDescent="0.35">
      <c r="A42" s="1"/>
      <c r="B42" s="68" t="s">
        <v>42</v>
      </c>
      <c r="C42" s="403">
        <f>SUM(C21:C41)</f>
        <v>5725.3099999999995</v>
      </c>
      <c r="D42" s="64"/>
      <c r="E42" s="47"/>
      <c r="F42" s="1"/>
    </row>
    <row r="43" spans="1:6" ht="16.2" thickBot="1" x14ac:dyDescent="0.35">
      <c r="A43" s="1"/>
      <c r="B43" s="68" t="s">
        <v>43</v>
      </c>
      <c r="C43" s="402">
        <f>AVERAGE(C21:C40)</f>
        <v>286.26549999999997</v>
      </c>
      <c r="D43" s="1"/>
      <c r="E43" s="49"/>
      <c r="F43" s="1"/>
    </row>
    <row r="44" spans="1:6" ht="16.2" thickBot="1" x14ac:dyDescent="0.35">
      <c r="A44" s="239"/>
      <c r="B44" s="65"/>
      <c r="C44" s="1"/>
      <c r="D44" s="51"/>
      <c r="E44" s="49"/>
      <c r="F44" s="1"/>
    </row>
    <row r="45" spans="1:6" ht="31.8" thickBot="1" x14ac:dyDescent="0.35">
      <c r="A45" s="1"/>
      <c r="B45" s="70" t="s">
        <v>43</v>
      </c>
      <c r="C45" s="69" t="s">
        <v>44</v>
      </c>
      <c r="D45" s="66"/>
      <c r="E45" s="1"/>
      <c r="F45" s="1"/>
    </row>
    <row r="46" spans="1:6" ht="16.2" thickBot="1" x14ac:dyDescent="0.35">
      <c r="A46" s="1"/>
      <c r="B46" s="445">
        <f>C43</f>
        <v>286.26549999999997</v>
      </c>
      <c r="C46" s="71">
        <f>-IF(C43&lt;=80,10%,IF(C43&lt;250,7.5%,5%))</f>
        <v>-0.05</v>
      </c>
      <c r="D46" s="67">
        <f>IF(C43&lt;=80,C43*0.9,IF(C43&lt;250,C43*0.925,C43*0.95))</f>
        <v>271.95222499999994</v>
      </c>
      <c r="E46" s="1"/>
      <c r="F46" s="1"/>
    </row>
    <row r="47" spans="1:6" ht="16.2" thickBot="1" x14ac:dyDescent="0.35">
      <c r="A47" s="1"/>
      <c r="B47" s="446"/>
      <c r="C47" s="72">
        <f>IF(C43&lt;=80, 10%, IF(C43&lt;250, 7.5%, 5%))</f>
        <v>0.05</v>
      </c>
      <c r="D47" s="67">
        <f>IF(C43&lt;=80, C43*1.1, IF(C43&lt;250, C43*1.075, C43*1.05))</f>
        <v>300.57877500000001</v>
      </c>
      <c r="E47" s="1"/>
      <c r="F47" s="1"/>
    </row>
    <row r="48" spans="1:6" ht="16.2" thickBot="1" x14ac:dyDescent="0.35">
      <c r="A48" s="53"/>
      <c r="B48" s="240"/>
      <c r="C48" s="239"/>
      <c r="D48" s="54"/>
      <c r="E48" s="239"/>
      <c r="F48" s="55"/>
    </row>
    <row r="49" spans="1:6" ht="15.6" x14ac:dyDescent="0.3">
      <c r="A49" s="239"/>
      <c r="B49" s="56" t="s">
        <v>26</v>
      </c>
      <c r="C49" s="56"/>
      <c r="D49" s="57" t="s">
        <v>27</v>
      </c>
      <c r="E49" s="58"/>
      <c r="F49" s="57" t="s">
        <v>28</v>
      </c>
    </row>
    <row r="50" spans="1:6" ht="24" customHeight="1" x14ac:dyDescent="0.3">
      <c r="A50" s="387" t="s">
        <v>29</v>
      </c>
      <c r="B50" s="59"/>
      <c r="C50" s="239"/>
      <c r="D50" s="59"/>
      <c r="E50" s="239"/>
      <c r="F50" s="59"/>
    </row>
    <row r="51" spans="1:6" ht="26.4" customHeight="1" x14ac:dyDescent="0.3">
      <c r="A51" s="387" t="s">
        <v>30</v>
      </c>
      <c r="B51" s="60"/>
      <c r="C51" s="61"/>
      <c r="D51" s="60"/>
      <c r="E51" s="239"/>
      <c r="F51" s="62"/>
    </row>
  </sheetData>
  <mergeCells count="13">
    <mergeCell ref="B46:B47"/>
    <mergeCell ref="A8:F8"/>
    <mergeCell ref="A9:F9"/>
    <mergeCell ref="A11:B11"/>
    <mergeCell ref="A12:B12"/>
    <mergeCell ref="A13:B13"/>
    <mergeCell ref="A14:B14"/>
    <mergeCell ref="C14:F14"/>
    <mergeCell ref="A15:B15"/>
    <mergeCell ref="A16:B16"/>
    <mergeCell ref="A18:B18"/>
    <mergeCell ref="A19:B19"/>
    <mergeCell ref="D19:E19"/>
  </mergeCells>
  <conditionalFormatting sqref="D21:D40">
    <cfRule type="cellIs" dxfId="4" priority="1" operator="notBetween">
      <formula>IF(C43&lt;=80,-10.5%,IF(C43&lt;250,-7.5%,-5.5%))</formula>
      <formula>IF(C43&lt;=80,10.5%, IF(C43&lt;250,7.5%, C43*5.5%))</formula>
    </cfRule>
  </conditionalFormatting>
  <conditionalFormatting sqref="D41">
    <cfRule type="cellIs" dxfId="3" priority="2" operator="notBetween">
      <formula>IF(C43&lt;=80,-10.5%,IF(C43&lt;250,-7.5%,-5.5%))</formula>
      <formula>IF(C43&lt;=80,10.5%, IF(C43&lt;250,7.5%, C43*5.5%))</formula>
    </cfRule>
  </conditionalFormatting>
  <pageMargins left="0.7" right="0.7" top="0.75" bottom="0.75" header="0.3" footer="0.3"/>
  <pageSetup scale="8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topLeftCell="A109" zoomScale="60" zoomScaleNormal="70" workbookViewId="0">
      <selection activeCell="F138" sqref="F138"/>
    </sheetView>
  </sheetViews>
  <sheetFormatPr defaultColWidth="9.109375" defaultRowHeight="13.2" x14ac:dyDescent="0.25"/>
  <cols>
    <col min="1" max="1" width="54.88671875" style="242" customWidth="1"/>
    <col min="2" max="2" width="39.44140625" style="242" customWidth="1"/>
    <col min="3" max="3" width="42.5546875" style="242" customWidth="1"/>
    <col min="4" max="4" width="24.109375" style="242" customWidth="1"/>
    <col min="5" max="5" width="31.6640625" style="242" customWidth="1"/>
    <col min="6" max="6" width="35.33203125" style="242" customWidth="1"/>
    <col min="7" max="7" width="32.44140625" style="242" customWidth="1"/>
    <col min="8" max="8" width="15.88671875" style="242" customWidth="1"/>
    <col min="9" max="9" width="15.5546875" style="242" customWidth="1"/>
    <col min="10" max="16384" width="9.109375" style="242"/>
  </cols>
  <sheetData>
    <row r="1" spans="1:7" x14ac:dyDescent="0.25">
      <c r="A1" s="501" t="s">
        <v>45</v>
      </c>
      <c r="B1" s="501"/>
      <c r="C1" s="501"/>
      <c r="D1" s="501"/>
      <c r="E1" s="501"/>
      <c r="F1" s="501"/>
      <c r="G1" s="501"/>
    </row>
    <row r="2" spans="1:7" x14ac:dyDescent="0.25">
      <c r="A2" s="501"/>
      <c r="B2" s="501"/>
      <c r="C2" s="501"/>
      <c r="D2" s="501"/>
      <c r="E2" s="501"/>
      <c r="F2" s="501"/>
      <c r="G2" s="501"/>
    </row>
    <row r="3" spans="1:7" x14ac:dyDescent="0.25">
      <c r="A3" s="501"/>
      <c r="B3" s="501"/>
      <c r="C3" s="501"/>
      <c r="D3" s="501"/>
      <c r="E3" s="501"/>
      <c r="F3" s="501"/>
      <c r="G3" s="501"/>
    </row>
    <row r="4" spans="1:7" x14ac:dyDescent="0.25">
      <c r="A4" s="501"/>
      <c r="B4" s="501"/>
      <c r="C4" s="501"/>
      <c r="D4" s="501"/>
      <c r="E4" s="501"/>
      <c r="F4" s="501"/>
      <c r="G4" s="501"/>
    </row>
    <row r="5" spans="1:7" x14ac:dyDescent="0.25">
      <c r="A5" s="501"/>
      <c r="B5" s="501"/>
      <c r="C5" s="501"/>
      <c r="D5" s="501"/>
      <c r="E5" s="501"/>
      <c r="F5" s="501"/>
      <c r="G5" s="501"/>
    </row>
    <row r="6" spans="1:7" x14ac:dyDescent="0.25">
      <c r="A6" s="501"/>
      <c r="B6" s="501"/>
      <c r="C6" s="501"/>
      <c r="D6" s="501"/>
      <c r="E6" s="501"/>
      <c r="F6" s="501"/>
      <c r="G6" s="501"/>
    </row>
    <row r="7" spans="1:7" x14ac:dyDescent="0.25">
      <c r="A7" s="501"/>
      <c r="B7" s="501"/>
      <c r="C7" s="501"/>
      <c r="D7" s="501"/>
      <c r="E7" s="501"/>
      <c r="F7" s="501"/>
      <c r="G7" s="501"/>
    </row>
    <row r="8" spans="1:7" x14ac:dyDescent="0.25">
      <c r="A8" s="502" t="s">
        <v>46</v>
      </c>
      <c r="B8" s="502"/>
      <c r="C8" s="502"/>
      <c r="D8" s="502"/>
      <c r="E8" s="502"/>
      <c r="F8" s="502"/>
      <c r="G8" s="502"/>
    </row>
    <row r="9" spans="1:7" x14ac:dyDescent="0.25">
      <c r="A9" s="502"/>
      <c r="B9" s="502"/>
      <c r="C9" s="502"/>
      <c r="D9" s="502"/>
      <c r="E9" s="502"/>
      <c r="F9" s="502"/>
      <c r="G9" s="502"/>
    </row>
    <row r="10" spans="1:7" x14ac:dyDescent="0.25">
      <c r="A10" s="502"/>
      <c r="B10" s="502"/>
      <c r="C10" s="502"/>
      <c r="D10" s="502"/>
      <c r="E10" s="502"/>
      <c r="F10" s="502"/>
      <c r="G10" s="502"/>
    </row>
    <row r="11" spans="1:7" x14ac:dyDescent="0.25">
      <c r="A11" s="502"/>
      <c r="B11" s="502"/>
      <c r="C11" s="502"/>
      <c r="D11" s="502"/>
      <c r="E11" s="502"/>
      <c r="F11" s="502"/>
      <c r="G11" s="502"/>
    </row>
    <row r="12" spans="1:7" x14ac:dyDescent="0.25">
      <c r="A12" s="502"/>
      <c r="B12" s="502"/>
      <c r="C12" s="502"/>
      <c r="D12" s="502"/>
      <c r="E12" s="502"/>
      <c r="F12" s="502"/>
      <c r="G12" s="502"/>
    </row>
    <row r="13" spans="1:7" x14ac:dyDescent="0.25">
      <c r="A13" s="502"/>
      <c r="B13" s="502"/>
      <c r="C13" s="502"/>
      <c r="D13" s="502"/>
      <c r="E13" s="502"/>
      <c r="F13" s="502"/>
      <c r="G13" s="502"/>
    </row>
    <row r="14" spans="1:7" x14ac:dyDescent="0.25">
      <c r="A14" s="502"/>
      <c r="B14" s="502"/>
      <c r="C14" s="502"/>
      <c r="D14" s="502"/>
      <c r="E14" s="502"/>
      <c r="F14" s="502"/>
      <c r="G14" s="502"/>
    </row>
    <row r="15" spans="1:7" ht="19.5" customHeight="1" thickBot="1" x14ac:dyDescent="0.4">
      <c r="A15" s="244"/>
      <c r="B15" s="244"/>
      <c r="C15" s="244"/>
      <c r="D15" s="244"/>
      <c r="E15" s="244"/>
      <c r="F15" s="244"/>
      <c r="G15" s="244"/>
    </row>
    <row r="16" spans="1:7" ht="19.5" customHeight="1" thickBot="1" x14ac:dyDescent="0.4">
      <c r="A16" s="497" t="s">
        <v>31</v>
      </c>
      <c r="B16" s="498"/>
      <c r="C16" s="498"/>
      <c r="D16" s="498"/>
      <c r="E16" s="498"/>
      <c r="F16" s="498"/>
      <c r="G16" s="498"/>
    </row>
    <row r="17" spans="1:7" ht="18.75" customHeight="1" x14ac:dyDescent="0.35">
      <c r="A17" s="281" t="s">
        <v>47</v>
      </c>
      <c r="B17" s="281"/>
      <c r="C17" s="244"/>
      <c r="D17" s="244"/>
      <c r="E17" s="244"/>
      <c r="F17" s="244"/>
      <c r="G17" s="244"/>
    </row>
    <row r="18" spans="1:7" ht="26.25" customHeight="1" x14ac:dyDescent="0.45">
      <c r="A18" s="380" t="s">
        <v>33</v>
      </c>
      <c r="B18" s="468" t="s">
        <v>5</v>
      </c>
      <c r="C18" s="468"/>
      <c r="D18" s="384"/>
      <c r="E18" s="384"/>
      <c r="F18" s="244"/>
      <c r="G18" s="244"/>
    </row>
    <row r="19" spans="1:7" ht="26.25" customHeight="1" x14ac:dyDescent="0.5">
      <c r="A19" s="380" t="s">
        <v>34</v>
      </c>
      <c r="B19" s="241" t="s">
        <v>7</v>
      </c>
      <c r="C19" s="244">
        <v>36</v>
      </c>
      <c r="E19" s="244"/>
      <c r="F19" s="244"/>
      <c r="G19" s="244"/>
    </row>
    <row r="20" spans="1:7" ht="26.25" customHeight="1" x14ac:dyDescent="0.5">
      <c r="A20" s="380" t="s">
        <v>35</v>
      </c>
      <c r="B20" s="458" t="s">
        <v>9</v>
      </c>
      <c r="C20" s="458"/>
      <c r="D20" s="244"/>
      <c r="E20" s="244"/>
      <c r="F20" s="244"/>
      <c r="G20" s="244"/>
    </row>
    <row r="21" spans="1:7" ht="26.25" customHeight="1" x14ac:dyDescent="0.5">
      <c r="A21" s="380" t="s">
        <v>36</v>
      </c>
      <c r="B21" s="238" t="s">
        <v>11</v>
      </c>
      <c r="C21" s="383"/>
      <c r="D21" s="382"/>
      <c r="E21" s="382"/>
      <c r="F21" s="382"/>
      <c r="G21" s="382"/>
    </row>
    <row r="22" spans="1:7" ht="26.25" customHeight="1" x14ac:dyDescent="0.5">
      <c r="A22" s="380" t="s">
        <v>37</v>
      </c>
      <c r="B22" s="81" t="s">
        <v>151</v>
      </c>
      <c r="C22" s="381"/>
      <c r="D22" s="244"/>
      <c r="E22" s="244"/>
      <c r="F22" s="244"/>
      <c r="G22" s="244"/>
    </row>
    <row r="23" spans="1:7" ht="26.25" customHeight="1" x14ac:dyDescent="0.5">
      <c r="A23" s="380" t="s">
        <v>38</v>
      </c>
      <c r="B23" s="81" t="s">
        <v>146</v>
      </c>
      <c r="C23" s="381"/>
      <c r="D23" s="244"/>
      <c r="E23" s="244"/>
      <c r="F23" s="244"/>
      <c r="G23" s="244"/>
    </row>
    <row r="24" spans="1:7" ht="18.75" customHeight="1" x14ac:dyDescent="0.35">
      <c r="A24" s="380"/>
      <c r="B24" s="379"/>
      <c r="C24" s="244"/>
      <c r="D24" s="244"/>
      <c r="E24" s="244"/>
      <c r="F24" s="244"/>
      <c r="G24" s="244"/>
    </row>
    <row r="25" spans="1:7" ht="18.75" customHeight="1" x14ac:dyDescent="0.35">
      <c r="A25" s="330" t="s">
        <v>1</v>
      </c>
      <c r="B25" s="379"/>
      <c r="C25" s="244"/>
      <c r="D25" s="244"/>
      <c r="E25" s="244"/>
      <c r="F25" s="244"/>
      <c r="G25" s="244"/>
    </row>
    <row r="26" spans="1:7" ht="26.25" customHeight="1" x14ac:dyDescent="0.45">
      <c r="A26" s="246" t="s">
        <v>4</v>
      </c>
      <c r="B26" s="499" t="s">
        <v>144</v>
      </c>
      <c r="C26" s="499"/>
      <c r="D26" s="244"/>
      <c r="E26" s="244"/>
      <c r="F26" s="244"/>
      <c r="G26" s="244"/>
    </row>
    <row r="27" spans="1:7" ht="26.25" customHeight="1" x14ac:dyDescent="0.5">
      <c r="A27" s="253" t="s">
        <v>48</v>
      </c>
      <c r="B27" s="500" t="s">
        <v>143</v>
      </c>
      <c r="C27" s="500"/>
      <c r="D27" s="244"/>
      <c r="E27" s="244"/>
      <c r="F27" s="244"/>
      <c r="G27" s="244"/>
    </row>
    <row r="28" spans="1:7" ht="27" customHeight="1" thickBot="1" x14ac:dyDescent="0.5">
      <c r="A28" s="253" t="s">
        <v>6</v>
      </c>
      <c r="B28" s="333">
        <v>98</v>
      </c>
      <c r="C28" s="244"/>
      <c r="D28" s="244"/>
      <c r="E28" s="244"/>
      <c r="F28" s="244"/>
      <c r="G28" s="244"/>
    </row>
    <row r="29" spans="1:7" ht="27" customHeight="1" thickBot="1" x14ac:dyDescent="0.55000000000000004">
      <c r="A29" s="253" t="s">
        <v>49</v>
      </c>
      <c r="B29" s="378">
        <v>0</v>
      </c>
      <c r="C29" s="491" t="s">
        <v>123</v>
      </c>
      <c r="D29" s="492"/>
      <c r="E29" s="492"/>
      <c r="F29" s="492"/>
      <c r="G29" s="493"/>
    </row>
    <row r="30" spans="1:7" ht="19.5" customHeight="1" thickBot="1" x14ac:dyDescent="0.4">
      <c r="A30" s="253" t="s">
        <v>51</v>
      </c>
      <c r="B30" s="336">
        <f>B28-B29</f>
        <v>98</v>
      </c>
      <c r="C30" s="335"/>
      <c r="D30" s="335"/>
      <c r="E30" s="335"/>
      <c r="F30" s="335"/>
      <c r="G30" s="335"/>
    </row>
    <row r="31" spans="1:7" ht="27" customHeight="1" thickBot="1" x14ac:dyDescent="0.5">
      <c r="A31" s="253" t="s">
        <v>52</v>
      </c>
      <c r="B31" s="333">
        <v>1</v>
      </c>
      <c r="C31" s="491" t="s">
        <v>53</v>
      </c>
      <c r="D31" s="492"/>
      <c r="E31" s="492"/>
      <c r="F31" s="492"/>
      <c r="G31" s="493"/>
    </row>
    <row r="32" spans="1:7" ht="27" customHeight="1" thickBot="1" x14ac:dyDescent="0.5">
      <c r="A32" s="253" t="s">
        <v>54</v>
      </c>
      <c r="B32" s="333">
        <v>1</v>
      </c>
      <c r="C32" s="491" t="s">
        <v>55</v>
      </c>
      <c r="D32" s="492"/>
      <c r="E32" s="492"/>
      <c r="F32" s="492"/>
      <c r="G32" s="493"/>
    </row>
    <row r="33" spans="1:7" ht="18.75" customHeight="1" x14ac:dyDescent="0.35">
      <c r="A33" s="253"/>
      <c r="B33" s="332"/>
      <c r="C33" s="255"/>
      <c r="D33" s="255"/>
      <c r="E33" s="255"/>
      <c r="F33" s="255"/>
      <c r="G33" s="255"/>
    </row>
    <row r="34" spans="1:7" ht="18.75" customHeight="1" x14ac:dyDescent="0.35">
      <c r="A34" s="253" t="s">
        <v>56</v>
      </c>
      <c r="B34" s="331">
        <f>B31/B32</f>
        <v>1</v>
      </c>
      <c r="C34" s="244" t="s">
        <v>57</v>
      </c>
      <c r="D34" s="244"/>
      <c r="E34" s="244"/>
      <c r="F34" s="244"/>
      <c r="G34" s="244"/>
    </row>
    <row r="35" spans="1:7" ht="19.5" customHeight="1" thickBot="1" x14ac:dyDescent="0.4">
      <c r="A35" s="253"/>
      <c r="B35" s="336"/>
      <c r="C35" s="377"/>
      <c r="D35" s="377"/>
      <c r="E35" s="377"/>
      <c r="F35" s="377"/>
      <c r="G35" s="244"/>
    </row>
    <row r="36" spans="1:7" ht="27" customHeight="1" thickBot="1" x14ac:dyDescent="0.5">
      <c r="A36" s="280" t="s">
        <v>124</v>
      </c>
      <c r="B36" s="370">
        <v>100</v>
      </c>
      <c r="C36" s="244"/>
      <c r="D36" s="494" t="s">
        <v>59</v>
      </c>
      <c r="E36" s="495"/>
      <c r="F36" s="494" t="s">
        <v>60</v>
      </c>
      <c r="G36" s="496"/>
    </row>
    <row r="37" spans="1:7" ht="26.25" customHeight="1" x14ac:dyDescent="0.45">
      <c r="A37" s="264" t="s">
        <v>61</v>
      </c>
      <c r="B37" s="360">
        <v>5</v>
      </c>
      <c r="C37" s="328" t="s">
        <v>62</v>
      </c>
      <c r="D37" s="326" t="s">
        <v>63</v>
      </c>
      <c r="E37" s="327" t="s">
        <v>64</v>
      </c>
      <c r="F37" s="326" t="s">
        <v>63</v>
      </c>
      <c r="G37" s="325" t="s">
        <v>64</v>
      </c>
    </row>
    <row r="38" spans="1:7" ht="26.25" customHeight="1" x14ac:dyDescent="0.45">
      <c r="A38" s="264" t="s">
        <v>66</v>
      </c>
      <c r="B38" s="360">
        <v>50</v>
      </c>
      <c r="C38" s="324">
        <v>1</v>
      </c>
      <c r="D38" s="323">
        <v>6556088</v>
      </c>
      <c r="E38" s="376">
        <f>IF(ISBLANK(D38),"-",$D$48/$D$45*D38)</f>
        <v>6886140.7249466954</v>
      </c>
      <c r="F38" s="323">
        <v>6986640</v>
      </c>
      <c r="G38" s="320">
        <f>IF(ISBLANK(F38),"-",$D$48/$F$45*F38)</f>
        <v>6888139.6036675554</v>
      </c>
    </row>
    <row r="39" spans="1:7" ht="26.25" customHeight="1" x14ac:dyDescent="0.45">
      <c r="A39" s="264" t="s">
        <v>67</v>
      </c>
      <c r="B39" s="360">
        <v>1</v>
      </c>
      <c r="C39" s="263">
        <v>2</v>
      </c>
      <c r="D39" s="318">
        <v>6563536</v>
      </c>
      <c r="E39" s="375">
        <f>IF(ISBLANK(D39),"-",$D$48/$D$45*D39)</f>
        <v>6893963.6791412393</v>
      </c>
      <c r="F39" s="318">
        <v>6980299</v>
      </c>
      <c r="G39" s="316">
        <f>IF(ISBLANK(F39),"-",$D$48/$F$45*F39)</f>
        <v>6881888.0015774434</v>
      </c>
    </row>
    <row r="40" spans="1:7" ht="26.25" customHeight="1" x14ac:dyDescent="0.45">
      <c r="A40" s="264" t="s">
        <v>68</v>
      </c>
      <c r="B40" s="360">
        <v>1</v>
      </c>
      <c r="C40" s="263">
        <v>3</v>
      </c>
      <c r="D40" s="318">
        <v>6558648</v>
      </c>
      <c r="E40" s="375">
        <f>IF(ISBLANK(D40),"-",$D$48/$D$45*D40)</f>
        <v>6888829.6028653355</v>
      </c>
      <c r="F40" s="318">
        <v>6976639</v>
      </c>
      <c r="G40" s="316">
        <f>IF(ISBLANK(F40),"-",$D$48/$F$45*F40)</f>
        <v>6878279.6016957518</v>
      </c>
    </row>
    <row r="41" spans="1:7" ht="26.25" customHeight="1" x14ac:dyDescent="0.45">
      <c r="A41" s="264" t="s">
        <v>69</v>
      </c>
      <c r="B41" s="360">
        <v>1</v>
      </c>
      <c r="C41" s="315">
        <v>4</v>
      </c>
      <c r="D41" s="314"/>
      <c r="E41" s="374" t="str">
        <f>IF(ISBLANK(D41),"-",$D$48/$D$45*D41)</f>
        <v>-</v>
      </c>
      <c r="F41" s="314"/>
      <c r="G41" s="311" t="str">
        <f>IF(ISBLANK(F41),"-",$D$48/$F$45*F41)</f>
        <v>-</v>
      </c>
    </row>
    <row r="42" spans="1:7" ht="27" customHeight="1" thickBot="1" x14ac:dyDescent="0.5">
      <c r="A42" s="264" t="s">
        <v>70</v>
      </c>
      <c r="B42" s="360">
        <v>1</v>
      </c>
      <c r="C42" s="310" t="s">
        <v>71</v>
      </c>
      <c r="D42" s="373">
        <f>AVERAGE(D38:D41)</f>
        <v>6559424</v>
      </c>
      <c r="E42" s="309">
        <f>AVERAGE(E38:E41)</f>
        <v>6889644.6689844234</v>
      </c>
      <c r="F42" s="373">
        <f>AVERAGE(F38:F41)</f>
        <v>6981192.666666667</v>
      </c>
      <c r="G42" s="372">
        <f>AVERAGE(G38:G41)</f>
        <v>6882769.0689802496</v>
      </c>
    </row>
    <row r="43" spans="1:7" ht="26.25" customHeight="1" x14ac:dyDescent="0.45">
      <c r="A43" s="264" t="s">
        <v>72</v>
      </c>
      <c r="B43" s="409">
        <v>1</v>
      </c>
      <c r="C43" s="419" t="s">
        <v>112</v>
      </c>
      <c r="D43" s="411">
        <v>19.43</v>
      </c>
      <c r="E43" s="244"/>
      <c r="F43" s="408">
        <v>20.7</v>
      </c>
      <c r="G43" s="244"/>
    </row>
    <row r="44" spans="1:7" ht="26.25" customHeight="1" x14ac:dyDescent="0.45">
      <c r="A44" s="264" t="s">
        <v>74</v>
      </c>
      <c r="B44" s="409">
        <v>1</v>
      </c>
      <c r="C44" s="420" t="s">
        <v>113</v>
      </c>
      <c r="D44" s="412">
        <f>D43*$B$34</f>
        <v>19.43</v>
      </c>
      <c r="E44" s="254"/>
      <c r="F44" s="303">
        <f>F43*$B$34</f>
        <v>20.7</v>
      </c>
      <c r="G44" s="244"/>
    </row>
    <row r="45" spans="1:7" ht="19.5" customHeight="1" thickBot="1" x14ac:dyDescent="0.4">
      <c r="A45" s="264" t="s">
        <v>76</v>
      </c>
      <c r="B45" s="410">
        <f>(B44/B43)*(B42/B41)*(B40/B39)*(B38/B37)*B36</f>
        <v>1000</v>
      </c>
      <c r="C45" s="420" t="s">
        <v>77</v>
      </c>
      <c r="D45" s="413">
        <f>D44*$B$30/100</f>
        <v>19.041399999999999</v>
      </c>
      <c r="E45" s="299"/>
      <c r="F45" s="301">
        <f>F44*$B$30/100</f>
        <v>20.285999999999998</v>
      </c>
      <c r="G45" s="244"/>
    </row>
    <row r="46" spans="1:7" ht="19.5" customHeight="1" thickBot="1" x14ac:dyDescent="0.4">
      <c r="A46" s="504" t="s">
        <v>78</v>
      </c>
      <c r="B46" s="509"/>
      <c r="C46" s="420" t="s">
        <v>79</v>
      </c>
      <c r="D46" s="412">
        <f>D45/$B$45</f>
        <v>1.90414E-2</v>
      </c>
      <c r="E46" s="299"/>
      <c r="F46" s="298">
        <f>F45/$B$45</f>
        <v>2.0285999999999998E-2</v>
      </c>
      <c r="G46" s="244"/>
    </row>
    <row r="47" spans="1:7" ht="27" customHeight="1" thickBot="1" x14ac:dyDescent="0.5">
      <c r="A47" s="506"/>
      <c r="B47" s="510"/>
      <c r="C47" s="420" t="s">
        <v>125</v>
      </c>
      <c r="D47" s="414">
        <v>0.02</v>
      </c>
      <c r="E47" s="244"/>
      <c r="F47" s="293"/>
      <c r="G47" s="244"/>
    </row>
    <row r="48" spans="1:7" ht="18.75" customHeight="1" x14ac:dyDescent="0.35">
      <c r="A48" s="244"/>
      <c r="B48" s="244"/>
      <c r="C48" s="421" t="s">
        <v>81</v>
      </c>
      <c r="D48" s="413">
        <f>D47*$B$45</f>
        <v>20</v>
      </c>
      <c r="E48" s="244"/>
      <c r="F48" s="293"/>
      <c r="G48" s="244"/>
    </row>
    <row r="49" spans="1:7" ht="19.5" customHeight="1" thickBot="1" x14ac:dyDescent="0.4">
      <c r="A49" s="244"/>
      <c r="B49" s="244"/>
      <c r="C49" s="422" t="s">
        <v>82</v>
      </c>
      <c r="D49" s="415">
        <f>D48/B34</f>
        <v>20</v>
      </c>
      <c r="E49" s="244"/>
      <c r="F49" s="293"/>
      <c r="G49" s="244"/>
    </row>
    <row r="50" spans="1:7" ht="18.75" customHeight="1" x14ac:dyDescent="0.35">
      <c r="A50" s="244"/>
      <c r="B50" s="244"/>
      <c r="C50" s="423" t="s">
        <v>83</v>
      </c>
      <c r="D50" s="416">
        <f>AVERAGE(E38:E41,G38:G41)</f>
        <v>6886206.8689823374</v>
      </c>
      <c r="E50" s="244"/>
      <c r="F50" s="283"/>
      <c r="G50" s="244"/>
    </row>
    <row r="51" spans="1:7" ht="18.75" customHeight="1" x14ac:dyDescent="0.35">
      <c r="A51" s="244"/>
      <c r="B51" s="244"/>
      <c r="C51" s="422" t="s">
        <v>84</v>
      </c>
      <c r="D51" s="417">
        <f>STDEV(E38:E41,G38:G41)/D50</f>
        <v>8.0141522641795826E-4</v>
      </c>
      <c r="E51" s="244"/>
      <c r="F51" s="283"/>
      <c r="G51" s="244"/>
    </row>
    <row r="52" spans="1:7" ht="19.5" customHeight="1" thickBot="1" x14ac:dyDescent="0.4">
      <c r="A52" s="244"/>
      <c r="B52" s="244"/>
      <c r="C52" s="424" t="s">
        <v>20</v>
      </c>
      <c r="D52" s="418">
        <f>COUNT(E38:E41,G38:G41)</f>
        <v>6</v>
      </c>
      <c r="E52" s="244"/>
      <c r="F52" s="283"/>
      <c r="G52" s="244"/>
    </row>
    <row r="53" spans="1:7" ht="18.75" customHeight="1" x14ac:dyDescent="0.35">
      <c r="A53" s="244"/>
      <c r="B53" s="244"/>
      <c r="C53" s="244"/>
      <c r="D53" s="244"/>
      <c r="E53" s="244"/>
      <c r="F53" s="244"/>
      <c r="G53" s="244"/>
    </row>
    <row r="54" spans="1:7" ht="18.75" customHeight="1" x14ac:dyDescent="0.35">
      <c r="A54" s="281" t="s">
        <v>1</v>
      </c>
      <c r="B54" s="344" t="s">
        <v>85</v>
      </c>
      <c r="C54" s="244"/>
      <c r="D54" s="244"/>
      <c r="E54" s="244"/>
      <c r="F54" s="244"/>
      <c r="G54" s="244"/>
    </row>
    <row r="55" spans="1:7" ht="18.75" customHeight="1" x14ac:dyDescent="0.35">
      <c r="A55" s="244" t="s">
        <v>86</v>
      </c>
      <c r="B55" s="338" t="str">
        <f>B21</f>
        <v>Each 1 Mifepristone tablet contains 200 mg, 1 tablet Misopristol tablet contains 200 mcg</v>
      </c>
      <c r="C55" s="244"/>
      <c r="D55" s="244"/>
      <c r="E55" s="244">
        <f>D59/D50*D47*B67</f>
        <v>0.21342042549139828</v>
      </c>
      <c r="F55" s="244"/>
      <c r="G55" s="244"/>
    </row>
    <row r="56" spans="1:7" ht="26.25" customHeight="1" x14ac:dyDescent="0.45">
      <c r="A56" s="338" t="s">
        <v>87</v>
      </c>
      <c r="B56" s="425">
        <v>0.2</v>
      </c>
      <c r="C56" s="244" t="str">
        <f>B20</f>
        <v>Mifepristone, Misoprostol</v>
      </c>
      <c r="D56" s="244"/>
      <c r="E56" s="244"/>
      <c r="F56" s="244"/>
      <c r="G56" s="244"/>
    </row>
    <row r="57" spans="1:7" ht="17.25" customHeight="1" thickBot="1" x14ac:dyDescent="0.35">
      <c r="A57" s="371" t="s">
        <v>150</v>
      </c>
      <c r="B57" s="429">
        <f>'Uniformity - Misoprostol'!C43</f>
        <v>203.31199999999995</v>
      </c>
      <c r="C57" s="371"/>
      <c r="D57" s="339"/>
      <c r="E57" s="339"/>
      <c r="F57" s="339"/>
      <c r="G57" s="339"/>
    </row>
    <row r="58" spans="1:7" ht="57.75" customHeight="1" x14ac:dyDescent="0.45">
      <c r="A58" s="280" t="s">
        <v>126</v>
      </c>
      <c r="B58" s="370">
        <v>10</v>
      </c>
      <c r="C58" s="369" t="s">
        <v>127</v>
      </c>
      <c r="D58" s="368" t="s">
        <v>128</v>
      </c>
      <c r="E58" s="367" t="s">
        <v>129</v>
      </c>
      <c r="F58" s="366" t="s">
        <v>130</v>
      </c>
      <c r="G58" s="365" t="s">
        <v>131</v>
      </c>
    </row>
    <row r="59" spans="1:7" ht="26.25" customHeight="1" x14ac:dyDescent="0.5">
      <c r="A59" s="264" t="s">
        <v>61</v>
      </c>
      <c r="B59" s="360">
        <v>1</v>
      </c>
      <c r="C59" s="364">
        <v>1</v>
      </c>
      <c r="D59" s="363">
        <v>7348286</v>
      </c>
      <c r="E59" s="426">
        <f t="shared" ref="E59:E68" si="0">IF(ISBLANK(D59),"-",D59/$D$50*$D$47*$B$67)</f>
        <v>0.21342042549139828</v>
      </c>
      <c r="F59" s="362">
        <f>IF(ISBLANK(D59),"-",E59/$E$70*100)</f>
        <v>102.14457448543406</v>
      </c>
      <c r="G59" s="361">
        <f>IF(ISBLANK(D59),"-",E59/$B$56*100)</f>
        <v>106.71021274569914</v>
      </c>
    </row>
    <row r="60" spans="1:7" ht="26.25" customHeight="1" x14ac:dyDescent="0.5">
      <c r="A60" s="264" t="s">
        <v>66</v>
      </c>
      <c r="B60" s="360">
        <v>1</v>
      </c>
      <c r="C60" s="268">
        <v>2</v>
      </c>
      <c r="D60" s="358">
        <v>7181187</v>
      </c>
      <c r="E60" s="427">
        <f t="shared" si="0"/>
        <v>0.20856727474587922</v>
      </c>
      <c r="F60" s="357">
        <f>IF(ISBLANK(D60),"-",E60/$E$70*100)</f>
        <v>99.821821090704788</v>
      </c>
      <c r="G60" s="270">
        <f t="shared" ref="G60:G68" si="1">IF(ISBLANK(D60),"-",E60/$B$56*100)</f>
        <v>104.28363737293959</v>
      </c>
    </row>
    <row r="61" spans="1:7" ht="26.25" customHeight="1" x14ac:dyDescent="0.5">
      <c r="A61" s="264" t="s">
        <v>67</v>
      </c>
      <c r="B61" s="360">
        <v>1</v>
      </c>
      <c r="C61" s="268">
        <v>3</v>
      </c>
      <c r="D61" s="358">
        <v>7036273</v>
      </c>
      <c r="E61" s="427">
        <f t="shared" si="0"/>
        <v>0.20435845550018569</v>
      </c>
      <c r="F61" s="357">
        <f t="shared" ref="F61:F68" si="2">IF(ISBLANK(D61),"-",E61/$E$70*100)</f>
        <v>97.807449458057107</v>
      </c>
      <c r="G61" s="270">
        <f t="shared" si="1"/>
        <v>102.17922775009285</v>
      </c>
    </row>
    <row r="62" spans="1:7" ht="26.25" customHeight="1" x14ac:dyDescent="0.5">
      <c r="A62" s="264" t="s">
        <v>68</v>
      </c>
      <c r="B62" s="360">
        <v>1</v>
      </c>
      <c r="C62" s="268">
        <v>4</v>
      </c>
      <c r="D62" s="358">
        <v>7319970</v>
      </c>
      <c r="E62" s="427">
        <f t="shared" si="0"/>
        <v>0.21259802789171117</v>
      </c>
      <c r="F62" s="357">
        <f t="shared" si="2"/>
        <v>101.75096898734519</v>
      </c>
      <c r="G62" s="270">
        <f t="shared" si="1"/>
        <v>106.29901394585556</v>
      </c>
    </row>
    <row r="63" spans="1:7" ht="26.25" customHeight="1" x14ac:dyDescent="0.5">
      <c r="A63" s="264" t="s">
        <v>69</v>
      </c>
      <c r="B63" s="360">
        <v>1</v>
      </c>
      <c r="C63" s="268">
        <v>5</v>
      </c>
      <c r="D63" s="358">
        <v>7088900</v>
      </c>
      <c r="E63" s="427">
        <f t="shared" si="0"/>
        <v>0.20588693121987539</v>
      </c>
      <c r="F63" s="357">
        <f t="shared" si="2"/>
        <v>98.538989101648127</v>
      </c>
      <c r="G63" s="270">
        <f t="shared" si="1"/>
        <v>102.94346560993768</v>
      </c>
    </row>
    <row r="64" spans="1:7" ht="26.25" customHeight="1" x14ac:dyDescent="0.5">
      <c r="A64" s="264" t="s">
        <v>70</v>
      </c>
      <c r="B64" s="360">
        <v>1</v>
      </c>
      <c r="C64" s="268">
        <v>6</v>
      </c>
      <c r="D64" s="358">
        <v>7078886</v>
      </c>
      <c r="E64" s="427">
        <f t="shared" si="0"/>
        <v>0.20559608895531589</v>
      </c>
      <c r="F64" s="357">
        <f t="shared" si="2"/>
        <v>98.399789869487435</v>
      </c>
      <c r="G64" s="270">
        <f t="shared" si="1"/>
        <v>102.79804447765795</v>
      </c>
    </row>
    <row r="65" spans="1:7" ht="26.25" customHeight="1" x14ac:dyDescent="0.5">
      <c r="A65" s="264" t="s">
        <v>72</v>
      </c>
      <c r="B65" s="360">
        <v>1</v>
      </c>
      <c r="C65" s="268">
        <v>7</v>
      </c>
      <c r="D65" s="358">
        <v>6950036</v>
      </c>
      <c r="E65" s="427">
        <f t="shared" si="0"/>
        <v>0.20185382554524084</v>
      </c>
      <c r="F65" s="357">
        <f t="shared" si="2"/>
        <v>96.608715267539694</v>
      </c>
      <c r="G65" s="270">
        <f t="shared" si="1"/>
        <v>100.9269127726204</v>
      </c>
    </row>
    <row r="66" spans="1:7" ht="26.25" customHeight="1" x14ac:dyDescent="0.5">
      <c r="A66" s="264" t="s">
        <v>74</v>
      </c>
      <c r="B66" s="360">
        <v>1</v>
      </c>
      <c r="C66" s="268">
        <v>8</v>
      </c>
      <c r="D66" s="358">
        <v>7274833</v>
      </c>
      <c r="E66" s="427">
        <f t="shared" si="0"/>
        <v>0.21128708847734906</v>
      </c>
      <c r="F66" s="357">
        <f t="shared" si="2"/>
        <v>101.12354380839201</v>
      </c>
      <c r="G66" s="270">
        <f t="shared" si="1"/>
        <v>105.64354423867452</v>
      </c>
    </row>
    <row r="67" spans="1:7" ht="27" customHeight="1" thickBot="1" x14ac:dyDescent="0.55000000000000004">
      <c r="A67" s="264" t="s">
        <v>76</v>
      </c>
      <c r="B67" s="359">
        <f>(B66/B65)*(B64/B63)*(B62/B61)*(B60/B59)*B58</f>
        <v>10</v>
      </c>
      <c r="C67" s="268">
        <v>9</v>
      </c>
      <c r="D67" s="358">
        <v>7300130</v>
      </c>
      <c r="E67" s="427">
        <f t="shared" si="0"/>
        <v>0.21202180355289948</v>
      </c>
      <c r="F67" s="357">
        <f t="shared" si="2"/>
        <v>101.47518380998667</v>
      </c>
      <c r="G67" s="270">
        <f t="shared" si="1"/>
        <v>106.01090177644974</v>
      </c>
    </row>
    <row r="68" spans="1:7" ht="27" customHeight="1" thickBot="1" x14ac:dyDescent="0.55000000000000004">
      <c r="A68" s="504" t="s">
        <v>78</v>
      </c>
      <c r="B68" s="509"/>
      <c r="C68" s="349">
        <v>10</v>
      </c>
      <c r="D68" s="356">
        <v>7361551</v>
      </c>
      <c r="E68" s="428">
        <f t="shared" si="0"/>
        <v>0.2138056883872822</v>
      </c>
      <c r="F68" s="355">
        <f t="shared" si="2"/>
        <v>102.32896412140484</v>
      </c>
      <c r="G68" s="354">
        <f t="shared" si="1"/>
        <v>106.90284419364109</v>
      </c>
    </row>
    <row r="69" spans="1:7" ht="19.5" customHeight="1" thickBot="1" x14ac:dyDescent="0.4">
      <c r="A69" s="506"/>
      <c r="B69" s="510"/>
      <c r="C69" s="268"/>
      <c r="D69" s="299"/>
      <c r="E69" s="244"/>
      <c r="F69" s="339"/>
      <c r="G69" s="353"/>
    </row>
    <row r="70" spans="1:7" ht="26.25" customHeight="1" x14ac:dyDescent="0.45">
      <c r="A70" s="339"/>
      <c r="B70" s="339"/>
      <c r="C70" s="268" t="s">
        <v>132</v>
      </c>
      <c r="D70" s="347"/>
      <c r="E70" s="430">
        <f>AVERAGE(E59:E68)</f>
        <v>0.20893956097671373</v>
      </c>
      <c r="F70" s="352">
        <f>AVERAGE(F59:F68)</f>
        <v>99.999999999999986</v>
      </c>
      <c r="G70" s="351">
        <f>AVERAGE(G59:G68)</f>
        <v>104.46978048835686</v>
      </c>
    </row>
    <row r="71" spans="1:7" ht="26.25" customHeight="1" x14ac:dyDescent="0.45">
      <c r="A71" s="339"/>
      <c r="B71" s="339"/>
      <c r="C71" s="268"/>
      <c r="D71" s="347"/>
      <c r="E71" s="350">
        <f>STDEV(E59:E68)/E70</f>
        <v>2.0429484957297871E-2</v>
      </c>
      <c r="F71" s="350">
        <f>STDEV(F59:F68)/F70</f>
        <v>2.042948495729785E-2</v>
      </c>
      <c r="G71" s="260">
        <f>STDEV(G59:G68)/G70</f>
        <v>2.0429484957297881E-2</v>
      </c>
    </row>
    <row r="72" spans="1:7" ht="27" customHeight="1" thickBot="1" x14ac:dyDescent="0.5">
      <c r="A72" s="339"/>
      <c r="B72" s="339"/>
      <c r="C72" s="349"/>
      <c r="D72" s="348"/>
      <c r="E72" s="431">
        <f>COUNT(E59:E68)</f>
        <v>10</v>
      </c>
      <c r="F72" s="431">
        <f>COUNT(F59:F68)</f>
        <v>10</v>
      </c>
      <c r="G72" s="432">
        <f>COUNT(G59:G68)</f>
        <v>10</v>
      </c>
    </row>
    <row r="73" spans="1:7" ht="18.75" customHeight="1" x14ac:dyDescent="0.35">
      <c r="A73" s="339"/>
      <c r="B73" s="244"/>
      <c r="C73" s="244"/>
      <c r="D73" s="254"/>
      <c r="E73" s="347"/>
      <c r="F73" s="244"/>
      <c r="G73" s="346"/>
    </row>
    <row r="74" spans="1:7" ht="18.75" customHeight="1" x14ac:dyDescent="0.35">
      <c r="A74" s="246" t="s">
        <v>133</v>
      </c>
      <c r="B74" s="253" t="s">
        <v>106</v>
      </c>
      <c r="C74" s="508" t="str">
        <f>B26</f>
        <v>MISOPROSTOL</v>
      </c>
      <c r="D74" s="508"/>
      <c r="E74" s="244" t="s">
        <v>107</v>
      </c>
      <c r="F74" s="244"/>
      <c r="G74" s="345">
        <f>G70</f>
        <v>104.46978048835686</v>
      </c>
    </row>
    <row r="75" spans="1:7" ht="18.75" customHeight="1" x14ac:dyDescent="0.35">
      <c r="A75" s="246"/>
      <c r="B75" s="253"/>
      <c r="C75" s="336"/>
      <c r="D75" s="336"/>
      <c r="E75" s="244"/>
      <c r="F75" s="244"/>
      <c r="G75" s="252"/>
    </row>
    <row r="76" spans="1:7" ht="18.75" customHeight="1" x14ac:dyDescent="0.35">
      <c r="A76" s="281" t="s">
        <v>1</v>
      </c>
      <c r="B76" s="330" t="s">
        <v>134</v>
      </c>
      <c r="C76" s="244"/>
      <c r="D76" s="244"/>
      <c r="E76" s="244"/>
      <c r="F76" s="244"/>
      <c r="G76" s="339"/>
    </row>
    <row r="77" spans="1:7" ht="18.75" customHeight="1" x14ac:dyDescent="0.35">
      <c r="A77" s="281"/>
      <c r="B77" s="344"/>
      <c r="C77" s="244"/>
      <c r="D77" s="244"/>
      <c r="E77" s="244"/>
      <c r="F77" s="244"/>
      <c r="G77" s="339"/>
    </row>
    <row r="78" spans="1:7" ht="18.75" customHeight="1" x14ac:dyDescent="0.35">
      <c r="A78" s="339"/>
      <c r="B78" s="511" t="s">
        <v>135</v>
      </c>
      <c r="C78" s="512"/>
      <c r="D78" s="244"/>
      <c r="E78" s="339"/>
      <c r="F78" s="339"/>
      <c r="G78" s="339"/>
    </row>
    <row r="79" spans="1:7" ht="18.75" customHeight="1" x14ac:dyDescent="0.35">
      <c r="A79" s="339"/>
      <c r="B79" s="341" t="s">
        <v>43</v>
      </c>
      <c r="C79" s="342">
        <f>G70</f>
        <v>104.46978048835686</v>
      </c>
      <c r="D79" s="244"/>
      <c r="E79" s="436"/>
      <c r="F79" s="339"/>
      <c r="G79" s="339"/>
    </row>
    <row r="80" spans="1:7" ht="26.25" customHeight="1" x14ac:dyDescent="0.5">
      <c r="A80" s="339"/>
      <c r="B80" s="341" t="s">
        <v>136</v>
      </c>
      <c r="C80" s="343">
        <v>2.4</v>
      </c>
      <c r="D80" s="244"/>
      <c r="E80" s="339"/>
      <c r="F80" s="339"/>
      <c r="G80" s="339"/>
    </row>
    <row r="81" spans="1:7" ht="18.75" customHeight="1" x14ac:dyDescent="0.35">
      <c r="A81" s="339"/>
      <c r="B81" s="341" t="s">
        <v>137</v>
      </c>
      <c r="C81" s="342">
        <f>STDEV(G59:G68)</f>
        <v>2.1342638089790982</v>
      </c>
      <c r="D81" s="244"/>
      <c r="E81" s="339"/>
      <c r="F81" s="339"/>
      <c r="G81" s="339"/>
    </row>
    <row r="82" spans="1:7" ht="18.75" customHeight="1" x14ac:dyDescent="0.35">
      <c r="A82" s="339"/>
      <c r="B82" s="341" t="s">
        <v>138</v>
      </c>
      <c r="C82" s="342">
        <f>IF(OR(G70&lt;98.5,G70&gt;101.5),(IF(98.5&gt;G70,98.5,101.5)),C79)</f>
        <v>101.5</v>
      </c>
      <c r="D82" s="244"/>
      <c r="E82" s="339"/>
      <c r="F82" s="339"/>
      <c r="G82" s="339"/>
    </row>
    <row r="83" spans="1:7" ht="18.75" customHeight="1" x14ac:dyDescent="0.35">
      <c r="A83" s="339"/>
      <c r="B83" s="341" t="s">
        <v>139</v>
      </c>
      <c r="C83" s="340">
        <f>ABS(C82-C79)+(C80*C81)</f>
        <v>8.0920136299066954</v>
      </c>
      <c r="D83" s="244"/>
      <c r="E83" s="339"/>
      <c r="F83" s="339"/>
      <c r="G83" s="339"/>
    </row>
    <row r="84" spans="1:7" ht="18.75" customHeight="1" x14ac:dyDescent="0.35">
      <c r="A84" s="338"/>
      <c r="B84" s="337"/>
      <c r="C84" s="244"/>
      <c r="D84" s="244"/>
      <c r="E84" s="244"/>
      <c r="F84" s="244"/>
      <c r="G84" s="244"/>
    </row>
    <row r="85" spans="1:7" ht="18.75" customHeight="1" x14ac:dyDescent="0.35">
      <c r="A85" s="330" t="s">
        <v>108</v>
      </c>
      <c r="B85" s="330" t="s">
        <v>109</v>
      </c>
      <c r="C85" s="244"/>
      <c r="D85" s="244"/>
      <c r="E85" s="244"/>
      <c r="F85" s="244"/>
      <c r="G85" s="244"/>
    </row>
    <row r="86" spans="1:7" ht="18.75" customHeight="1" x14ac:dyDescent="0.35">
      <c r="A86" s="330"/>
      <c r="B86" s="330"/>
      <c r="C86" s="244"/>
      <c r="D86" s="244"/>
      <c r="E86" s="244"/>
      <c r="F86" s="244"/>
      <c r="G86" s="244"/>
    </row>
    <row r="87" spans="1:7" ht="26.25" customHeight="1" x14ac:dyDescent="0.45">
      <c r="A87" s="246" t="s">
        <v>4</v>
      </c>
      <c r="B87" s="499" t="s">
        <v>144</v>
      </c>
      <c r="C87" s="499"/>
      <c r="D87" s="244"/>
      <c r="E87" s="244"/>
      <c r="F87" s="244"/>
      <c r="G87" s="244"/>
    </row>
    <row r="88" spans="1:7" ht="26.25" customHeight="1" x14ac:dyDescent="0.5">
      <c r="A88" s="253" t="s">
        <v>48</v>
      </c>
      <c r="B88" s="500" t="str">
        <f>B27</f>
        <v>M42-1</v>
      </c>
      <c r="C88" s="500"/>
      <c r="D88" s="244"/>
      <c r="E88" s="244"/>
      <c r="F88" s="244"/>
      <c r="G88" s="244"/>
    </row>
    <row r="89" spans="1:7" ht="27" customHeight="1" thickBot="1" x14ac:dyDescent="0.5">
      <c r="A89" s="253" t="s">
        <v>6</v>
      </c>
      <c r="B89" s="333">
        <f>B28</f>
        <v>98</v>
      </c>
      <c r="C89" s="244"/>
      <c r="D89" s="244"/>
      <c r="E89" s="244"/>
      <c r="F89" s="244"/>
      <c r="G89" s="244"/>
    </row>
    <row r="90" spans="1:7" ht="27" customHeight="1" thickBot="1" x14ac:dyDescent="0.5">
      <c r="A90" s="253" t="s">
        <v>49</v>
      </c>
      <c r="B90" s="319">
        <f>B33</f>
        <v>0</v>
      </c>
      <c r="C90" s="513" t="s">
        <v>50</v>
      </c>
      <c r="D90" s="514"/>
      <c r="E90" s="514"/>
      <c r="F90" s="514"/>
      <c r="G90" s="515"/>
    </row>
    <row r="91" spans="1:7" ht="18.75" customHeight="1" x14ac:dyDescent="0.35">
      <c r="A91" s="253" t="s">
        <v>51</v>
      </c>
      <c r="B91" s="336">
        <f>B89-B90</f>
        <v>98</v>
      </c>
      <c r="C91" s="335"/>
      <c r="D91" s="335"/>
      <c r="E91" s="335"/>
      <c r="F91" s="335"/>
      <c r="G91" s="334"/>
    </row>
    <row r="92" spans="1:7" ht="19.5" customHeight="1" thickBot="1" x14ac:dyDescent="0.4">
      <c r="A92" s="253"/>
      <c r="B92" s="336"/>
      <c r="C92" s="335"/>
      <c r="D92" s="335"/>
      <c r="E92" s="335"/>
      <c r="F92" s="335"/>
      <c r="G92" s="334"/>
    </row>
    <row r="93" spans="1:7" ht="27" customHeight="1" thickBot="1" x14ac:dyDescent="0.5">
      <c r="A93" s="253" t="s">
        <v>52</v>
      </c>
      <c r="B93" s="333">
        <v>1</v>
      </c>
      <c r="C93" s="491" t="s">
        <v>140</v>
      </c>
      <c r="D93" s="492"/>
      <c r="E93" s="492"/>
      <c r="F93" s="492"/>
      <c r="G93" s="492"/>
    </row>
    <row r="94" spans="1:7" ht="27" customHeight="1" thickBot="1" x14ac:dyDescent="0.5">
      <c r="A94" s="253" t="s">
        <v>54</v>
      </c>
      <c r="B94" s="333">
        <v>1</v>
      </c>
      <c r="C94" s="491" t="s">
        <v>141</v>
      </c>
      <c r="D94" s="492"/>
      <c r="E94" s="492"/>
      <c r="F94" s="492"/>
      <c r="G94" s="492"/>
    </row>
    <row r="95" spans="1:7" ht="18.75" customHeight="1" x14ac:dyDescent="0.35">
      <c r="A95" s="253"/>
      <c r="B95" s="332"/>
      <c r="C95" s="255"/>
      <c r="D95" s="255"/>
      <c r="E95" s="255"/>
      <c r="F95" s="255"/>
      <c r="G95" s="255"/>
    </row>
    <row r="96" spans="1:7" ht="18.75" customHeight="1" x14ac:dyDescent="0.35">
      <c r="A96" s="253" t="s">
        <v>56</v>
      </c>
      <c r="B96" s="331">
        <f>B93/B94</f>
        <v>1</v>
      </c>
      <c r="C96" s="244" t="s">
        <v>57</v>
      </c>
      <c r="D96" s="244"/>
      <c r="E96" s="244"/>
      <c r="F96" s="244"/>
      <c r="G96" s="244"/>
    </row>
    <row r="97" spans="1:7" ht="19.5" customHeight="1" thickBot="1" x14ac:dyDescent="0.4">
      <c r="A97" s="330"/>
      <c r="B97" s="330"/>
      <c r="C97" s="244"/>
      <c r="D97" s="244"/>
      <c r="E97" s="244"/>
      <c r="F97" s="244"/>
      <c r="G97" s="244"/>
    </row>
    <row r="98" spans="1:7" ht="27" customHeight="1" thickBot="1" x14ac:dyDescent="0.5">
      <c r="A98" s="280" t="s">
        <v>124</v>
      </c>
      <c r="B98" s="279">
        <v>100</v>
      </c>
      <c r="C98" s="244"/>
      <c r="D98" s="278" t="s">
        <v>59</v>
      </c>
      <c r="E98" s="329"/>
      <c r="F98" s="494" t="s">
        <v>60</v>
      </c>
      <c r="G98" s="496"/>
    </row>
    <row r="99" spans="1:7" ht="26.25" customHeight="1" x14ac:dyDescent="0.45">
      <c r="A99" s="264" t="s">
        <v>61</v>
      </c>
      <c r="B99" s="269">
        <v>2</v>
      </c>
      <c r="C99" s="328" t="s">
        <v>62</v>
      </c>
      <c r="D99" s="326" t="s">
        <v>63</v>
      </c>
      <c r="E99" s="327" t="s">
        <v>64</v>
      </c>
      <c r="F99" s="326" t="s">
        <v>63</v>
      </c>
      <c r="G99" s="325" t="s">
        <v>64</v>
      </c>
    </row>
    <row r="100" spans="1:7" ht="26.25" customHeight="1" x14ac:dyDescent="0.45">
      <c r="A100" s="264" t="s">
        <v>66</v>
      </c>
      <c r="B100" s="269">
        <v>100</v>
      </c>
      <c r="C100" s="324">
        <v>1</v>
      </c>
      <c r="D100" s="323">
        <v>735740</v>
      </c>
      <c r="E100" s="322">
        <f>IF(ISBLANK(D100),"-",$D$110/$D$107*D100)</f>
        <v>736395.39189878991</v>
      </c>
      <c r="F100" s="321">
        <v>817961</v>
      </c>
      <c r="G100" s="320">
        <f>IF(ISBLANK(F100),"-",$D$110/$F$107*F100)</f>
        <v>736676.15325035586</v>
      </c>
    </row>
    <row r="101" spans="1:7" ht="26.25" customHeight="1" x14ac:dyDescent="0.45">
      <c r="A101" s="264" t="s">
        <v>67</v>
      </c>
      <c r="B101" s="269">
        <v>1</v>
      </c>
      <c r="C101" s="263">
        <v>2</v>
      </c>
      <c r="D101" s="318">
        <v>733025</v>
      </c>
      <c r="E101" s="317">
        <f>IF(ISBLANK(D101),"-",$D$110/$D$107*D101)</f>
        <v>733677.97339632269</v>
      </c>
      <c r="F101" s="319">
        <v>817245</v>
      </c>
      <c r="G101" s="316">
        <f>IF(ISBLANK(F101),"-",$D$110/$F$107*F101)</f>
        <v>736031.30572617403</v>
      </c>
    </row>
    <row r="102" spans="1:7" ht="26.25" customHeight="1" x14ac:dyDescent="0.45">
      <c r="A102" s="264" t="s">
        <v>68</v>
      </c>
      <c r="B102" s="269">
        <v>10</v>
      </c>
      <c r="C102" s="263">
        <v>3</v>
      </c>
      <c r="D102" s="318">
        <v>729634</v>
      </c>
      <c r="E102" s="317">
        <f>IF(ISBLANK(D102),"-",$D$110/$D$107*D102)</f>
        <v>730283.95271791902</v>
      </c>
      <c r="F102" s="433">
        <v>806294</v>
      </c>
      <c r="G102" s="316">
        <f>IF(ISBLANK(F102),"-",$D$110/$F$107*F102)</f>
        <v>726168.56098132103</v>
      </c>
    </row>
    <row r="103" spans="1:7" ht="26.25" customHeight="1" x14ac:dyDescent="0.45">
      <c r="A103" s="264" t="s">
        <v>69</v>
      </c>
      <c r="B103" s="269">
        <v>1</v>
      </c>
      <c r="C103" s="315">
        <v>4</v>
      </c>
      <c r="D103" s="314"/>
      <c r="E103" s="313" t="str">
        <f>IF(ISBLANK(D103),"-",$D$110/$D$107*D103)</f>
        <v>-</v>
      </c>
      <c r="F103" s="312"/>
      <c r="G103" s="311" t="str">
        <f>IF(ISBLANK(F103),"-",$D$110/$F$107*F103)</f>
        <v>-</v>
      </c>
    </row>
    <row r="104" spans="1:7" ht="27" customHeight="1" thickBot="1" x14ac:dyDescent="0.5">
      <c r="A104" s="264" t="s">
        <v>70</v>
      </c>
      <c r="B104" s="269">
        <v>1</v>
      </c>
      <c r="C104" s="310" t="s">
        <v>71</v>
      </c>
      <c r="D104" s="308">
        <f>AVERAGE(D100:D103)</f>
        <v>732799.66666666663</v>
      </c>
      <c r="E104" s="309">
        <f>AVERAGE(E100:E103)</f>
        <v>733452.43933767721</v>
      </c>
      <c r="F104" s="308">
        <f>AVERAGE(F100:F103)</f>
        <v>813833.33333333337</v>
      </c>
      <c r="G104" s="307">
        <f>AVERAGE(G100:G103)</f>
        <v>732958.67331928376</v>
      </c>
    </row>
    <row r="105" spans="1:7" ht="26.25" customHeight="1" x14ac:dyDescent="0.45">
      <c r="A105" s="264" t="s">
        <v>72</v>
      </c>
      <c r="B105" s="269">
        <v>1</v>
      </c>
      <c r="C105" s="306" t="s">
        <v>112</v>
      </c>
      <c r="D105" s="305">
        <v>20.39</v>
      </c>
      <c r="E105" s="244"/>
      <c r="F105" s="304">
        <v>22.66</v>
      </c>
      <c r="G105" s="244"/>
    </row>
    <row r="106" spans="1:7" ht="26.25" customHeight="1" x14ac:dyDescent="0.45">
      <c r="A106" s="264" t="s">
        <v>74</v>
      </c>
      <c r="B106" s="269">
        <v>1</v>
      </c>
      <c r="C106" s="300" t="s">
        <v>113</v>
      </c>
      <c r="D106" s="294">
        <f>D105*$B$96</f>
        <v>20.39</v>
      </c>
      <c r="E106" s="254"/>
      <c r="F106" s="303">
        <f>F105*$B$96</f>
        <v>22.66</v>
      </c>
      <c r="G106" s="244"/>
    </row>
    <row r="107" spans="1:7" ht="19.5" customHeight="1" thickBot="1" x14ac:dyDescent="0.4">
      <c r="A107" s="264" t="s">
        <v>76</v>
      </c>
      <c r="B107" s="263">
        <f>(B106/B105)*(B104/B103)*(B102/B101)*(B100/B99)*B98</f>
        <v>50000</v>
      </c>
      <c r="C107" s="300" t="s">
        <v>77</v>
      </c>
      <c r="D107" s="302">
        <f>D106*$B$91/100</f>
        <v>19.982199999999999</v>
      </c>
      <c r="E107" s="299"/>
      <c r="F107" s="301">
        <f>F106*$B$91/100</f>
        <v>22.206799999999998</v>
      </c>
      <c r="G107" s="244"/>
    </row>
    <row r="108" spans="1:7" ht="19.5" customHeight="1" thickBot="1" x14ac:dyDescent="0.4">
      <c r="A108" s="504" t="s">
        <v>78</v>
      </c>
      <c r="B108" s="505"/>
      <c r="C108" s="300" t="s">
        <v>79</v>
      </c>
      <c r="D108" s="434">
        <f>D107/$B$107</f>
        <v>3.99644E-4</v>
      </c>
      <c r="E108" s="299"/>
      <c r="F108" s="435">
        <f>F107/$B$107</f>
        <v>4.4413599999999998E-4</v>
      </c>
      <c r="G108" s="282"/>
    </row>
    <row r="109" spans="1:7" ht="19.5" customHeight="1" thickBot="1" x14ac:dyDescent="0.4">
      <c r="A109" s="506"/>
      <c r="B109" s="507"/>
      <c r="C109" s="297" t="s">
        <v>125</v>
      </c>
      <c r="D109" s="296">
        <f>$B$56/$B$125</f>
        <v>4.0000000000000002E-4</v>
      </c>
      <c r="E109" s="244"/>
      <c r="F109" s="293"/>
      <c r="G109" s="288"/>
    </row>
    <row r="110" spans="1:7" ht="18.75" customHeight="1" x14ac:dyDescent="0.35">
      <c r="A110" s="244"/>
      <c r="B110" s="244"/>
      <c r="C110" s="295" t="s">
        <v>81</v>
      </c>
      <c r="D110" s="294">
        <f>D109*$B$107</f>
        <v>20</v>
      </c>
      <c r="E110" s="244"/>
      <c r="F110" s="293"/>
      <c r="G110" s="282"/>
    </row>
    <row r="111" spans="1:7" ht="19.5" customHeight="1" thickBot="1" x14ac:dyDescent="0.4">
      <c r="A111" s="244"/>
      <c r="B111" s="244"/>
      <c r="C111" s="292" t="s">
        <v>82</v>
      </c>
      <c r="D111" s="291">
        <f>D110/B96</f>
        <v>20</v>
      </c>
      <c r="E111" s="244"/>
      <c r="F111" s="283"/>
      <c r="G111" s="282"/>
    </row>
    <row r="112" spans="1:7" ht="18.75" customHeight="1" x14ac:dyDescent="0.35">
      <c r="A112" s="244"/>
      <c r="B112" s="244"/>
      <c r="C112" s="290" t="s">
        <v>83</v>
      </c>
      <c r="D112" s="289">
        <f>AVERAGE(E100:E103,G100:G103)</f>
        <v>733205.55632848048</v>
      </c>
      <c r="E112" s="244"/>
      <c r="F112" s="283"/>
      <c r="G112" s="288"/>
    </row>
    <row r="113" spans="1:7" ht="18.75" customHeight="1" x14ac:dyDescent="0.35">
      <c r="A113" s="244"/>
      <c r="B113" s="244"/>
      <c r="C113" s="287" t="s">
        <v>84</v>
      </c>
      <c r="D113" s="286">
        <f>STDEV(E100:E103,G100:G103)/D112</f>
        <v>5.7374599531054542E-3</v>
      </c>
      <c r="E113" s="244"/>
      <c r="F113" s="283"/>
      <c r="G113" s="282"/>
    </row>
    <row r="114" spans="1:7" ht="19.5" customHeight="1" thickBot="1" x14ac:dyDescent="0.4">
      <c r="A114" s="244"/>
      <c r="B114" s="244"/>
      <c r="C114" s="285" t="s">
        <v>20</v>
      </c>
      <c r="D114" s="284">
        <f>COUNT(E100:E103,G100:G103)</f>
        <v>6</v>
      </c>
      <c r="E114" s="244"/>
      <c r="F114" s="283"/>
      <c r="G114" s="282"/>
    </row>
    <row r="115" spans="1:7" ht="19.5" customHeight="1" thickBot="1" x14ac:dyDescent="0.4">
      <c r="A115" s="281"/>
      <c r="B115" s="281"/>
      <c r="C115" s="281"/>
      <c r="D115" s="281"/>
      <c r="E115" s="281"/>
      <c r="F115" s="244"/>
      <c r="G115" s="244"/>
    </row>
    <row r="116" spans="1:7" ht="26.25" customHeight="1" x14ac:dyDescent="0.45">
      <c r="A116" s="280" t="s">
        <v>117</v>
      </c>
      <c r="B116" s="279">
        <v>500</v>
      </c>
      <c r="C116" s="278" t="s">
        <v>127</v>
      </c>
      <c r="D116" s="277" t="s">
        <v>63</v>
      </c>
      <c r="E116" s="276" t="s">
        <v>118</v>
      </c>
      <c r="F116" s="275" t="s">
        <v>119</v>
      </c>
      <c r="G116" s="244"/>
    </row>
    <row r="117" spans="1:7" ht="26.25" customHeight="1" x14ac:dyDescent="0.45">
      <c r="A117" s="264" t="s">
        <v>120</v>
      </c>
      <c r="B117" s="269">
        <v>1</v>
      </c>
      <c r="C117" s="268">
        <v>1</v>
      </c>
      <c r="D117" s="437">
        <v>710554</v>
      </c>
      <c r="E117" s="426">
        <f t="shared" ref="E117:E122" si="3">IF(ISBLANK(D117),"-",D117/$D$112*$D$109*$B$125)</f>
        <v>0.19382122622149567</v>
      </c>
      <c r="F117" s="274">
        <f t="shared" ref="F117:F122" si="4">IF(ISBLANK(D117), "-", E117/$B$56)</f>
        <v>0.96910613110747834</v>
      </c>
      <c r="G117" s="244"/>
    </row>
    <row r="118" spans="1:7" ht="26.25" customHeight="1" x14ac:dyDescent="0.45">
      <c r="A118" s="264" t="s">
        <v>94</v>
      </c>
      <c r="B118" s="269">
        <v>1</v>
      </c>
      <c r="C118" s="268">
        <v>2</v>
      </c>
      <c r="D118" s="437">
        <v>694914</v>
      </c>
      <c r="E118" s="427">
        <f t="shared" si="3"/>
        <v>0.18955502832787438</v>
      </c>
      <c r="F118" s="273">
        <f t="shared" si="4"/>
        <v>0.94777514163937182</v>
      </c>
      <c r="G118" s="244"/>
    </row>
    <row r="119" spans="1:7" ht="26.25" customHeight="1" x14ac:dyDescent="0.45">
      <c r="A119" s="264" t="s">
        <v>95</v>
      </c>
      <c r="B119" s="269">
        <v>1</v>
      </c>
      <c r="C119" s="268">
        <v>3</v>
      </c>
      <c r="D119" s="437">
        <v>767997</v>
      </c>
      <c r="E119" s="427">
        <f t="shared" si="3"/>
        <v>0.20949022913730694</v>
      </c>
      <c r="F119" s="273">
        <f t="shared" si="4"/>
        <v>1.0474511456865347</v>
      </c>
      <c r="G119" s="244"/>
    </row>
    <row r="120" spans="1:7" ht="26.25" customHeight="1" x14ac:dyDescent="0.45">
      <c r="A120" s="264" t="s">
        <v>96</v>
      </c>
      <c r="B120" s="269">
        <v>1</v>
      </c>
      <c r="C120" s="268">
        <v>4</v>
      </c>
      <c r="D120" s="437">
        <v>793963</v>
      </c>
      <c r="E120" s="427">
        <f t="shared" si="3"/>
        <v>0.21657309963000332</v>
      </c>
      <c r="F120" s="273">
        <f t="shared" si="4"/>
        <v>1.0828654981500165</v>
      </c>
      <c r="G120" s="244"/>
    </row>
    <row r="121" spans="1:7" ht="26.25" customHeight="1" x14ac:dyDescent="0.45">
      <c r="A121" s="264" t="s">
        <v>97</v>
      </c>
      <c r="B121" s="269">
        <v>1</v>
      </c>
      <c r="C121" s="268">
        <v>5</v>
      </c>
      <c r="D121" s="437">
        <v>631322</v>
      </c>
      <c r="E121" s="427">
        <f t="shared" si="3"/>
        <v>0.17220873315836246</v>
      </c>
      <c r="F121" s="273">
        <f t="shared" si="4"/>
        <v>0.86104366579181224</v>
      </c>
      <c r="G121" s="244"/>
    </row>
    <row r="122" spans="1:7" ht="26.25" customHeight="1" x14ac:dyDescent="0.45">
      <c r="A122" s="264" t="s">
        <v>99</v>
      </c>
      <c r="B122" s="269">
        <v>1</v>
      </c>
      <c r="C122" s="272">
        <v>6</v>
      </c>
      <c r="D122" s="438">
        <v>710557</v>
      </c>
      <c r="E122" s="439">
        <f t="shared" si="3"/>
        <v>0.19382204454589982</v>
      </c>
      <c r="F122" s="271">
        <f t="shared" si="4"/>
        <v>0.96911022272949909</v>
      </c>
      <c r="G122" s="244"/>
    </row>
    <row r="123" spans="1:7" ht="26.25" customHeight="1" x14ac:dyDescent="0.45">
      <c r="A123" s="264" t="s">
        <v>100</v>
      </c>
      <c r="B123" s="269">
        <v>1</v>
      </c>
      <c r="C123" s="268"/>
      <c r="D123" s="254"/>
      <c r="E123" s="244"/>
      <c r="F123" s="270"/>
      <c r="G123" s="244"/>
    </row>
    <row r="124" spans="1:7" ht="26.25" customHeight="1" x14ac:dyDescent="0.45">
      <c r="A124" s="264" t="s">
        <v>101</v>
      </c>
      <c r="B124" s="269">
        <v>1</v>
      </c>
      <c r="C124" s="268"/>
      <c r="D124" s="267"/>
      <c r="E124" s="266" t="s">
        <v>71</v>
      </c>
      <c r="F124" s="265">
        <f>AVERAGE(F117:F122)</f>
        <v>0.97955863418411881</v>
      </c>
      <c r="G124" s="244"/>
    </row>
    <row r="125" spans="1:7" ht="27" customHeight="1" thickBot="1" x14ac:dyDescent="0.5">
      <c r="A125" s="264" t="s">
        <v>102</v>
      </c>
      <c r="B125" s="263">
        <f>(B124/B123)*(B122/B121)*(B120/B119)*(B118/B117)*B116</f>
        <v>500</v>
      </c>
      <c r="C125" s="262"/>
      <c r="D125" s="261"/>
      <c r="E125" s="253" t="s">
        <v>84</v>
      </c>
      <c r="F125" s="260">
        <f>STDEV(F117:F122)/F124</f>
        <v>7.9805646144205697E-2</v>
      </c>
      <c r="G125" s="244"/>
    </row>
    <row r="126" spans="1:7" ht="27" customHeight="1" thickBot="1" x14ac:dyDescent="0.5">
      <c r="A126" s="504" t="s">
        <v>78</v>
      </c>
      <c r="B126" s="505"/>
      <c r="C126" s="259"/>
      <c r="D126" s="258"/>
      <c r="E126" s="257" t="s">
        <v>20</v>
      </c>
      <c r="F126" s="256">
        <f>COUNT(F117:F122)</f>
        <v>6</v>
      </c>
      <c r="G126" s="244"/>
    </row>
    <row r="127" spans="1:7" ht="19.5" customHeight="1" thickBot="1" x14ac:dyDescent="0.4">
      <c r="A127" s="506"/>
      <c r="B127" s="507"/>
      <c r="C127" s="244"/>
      <c r="D127" s="244"/>
      <c r="E127" s="244"/>
      <c r="F127" s="254"/>
      <c r="G127" s="244"/>
    </row>
    <row r="128" spans="1:7" ht="18.75" customHeight="1" x14ac:dyDescent="0.35">
      <c r="A128" s="255"/>
      <c r="B128" s="255"/>
      <c r="C128" s="244"/>
      <c r="D128" s="244"/>
      <c r="E128" s="244"/>
      <c r="F128" s="254"/>
      <c r="G128" s="244"/>
    </row>
    <row r="129" spans="1:7" ht="18.75" customHeight="1" x14ac:dyDescent="0.35">
      <c r="A129" s="246" t="s">
        <v>133</v>
      </c>
      <c r="B129" s="253" t="s">
        <v>121</v>
      </c>
      <c r="C129" s="508" t="str">
        <f>B87</f>
        <v>MISOPROSTOL</v>
      </c>
      <c r="D129" s="508"/>
      <c r="E129" s="244" t="s">
        <v>122</v>
      </c>
      <c r="F129" s="244"/>
      <c r="G129" s="252">
        <f>F124</f>
        <v>0.97955863418411881</v>
      </c>
    </row>
    <row r="130" spans="1:7" ht="19.5" customHeight="1" thickBot="1" x14ac:dyDescent="0.4">
      <c r="A130" s="251"/>
      <c r="B130" s="251"/>
      <c r="C130" s="250"/>
      <c r="D130" s="250"/>
      <c r="E130" s="250"/>
      <c r="F130" s="250"/>
      <c r="G130" s="250"/>
    </row>
    <row r="131" spans="1:7" ht="18.75" customHeight="1" x14ac:dyDescent="0.35">
      <c r="A131" s="244"/>
      <c r="B131" s="503" t="s">
        <v>26</v>
      </c>
      <c r="C131" s="503"/>
      <c r="D131" s="244"/>
      <c r="E131" s="248" t="s">
        <v>27</v>
      </c>
      <c r="F131" s="249"/>
      <c r="G131" s="248" t="s">
        <v>28</v>
      </c>
    </row>
    <row r="132" spans="1:7" ht="46.5" customHeight="1" x14ac:dyDescent="0.35">
      <c r="A132" s="246" t="s">
        <v>29</v>
      </c>
      <c r="B132" s="247"/>
      <c r="C132" s="247"/>
      <c r="D132" s="244"/>
      <c r="E132" s="247"/>
      <c r="F132" s="244"/>
      <c r="G132" s="247"/>
    </row>
    <row r="133" spans="1:7" ht="52.5" customHeight="1" x14ac:dyDescent="0.35">
      <c r="A133" s="246" t="s">
        <v>30</v>
      </c>
      <c r="B133" s="245"/>
      <c r="C133" s="245"/>
      <c r="D133" s="244"/>
      <c r="E133" s="245"/>
      <c r="F133" s="244"/>
      <c r="G133" s="243"/>
    </row>
    <row r="250" spans="1:1" x14ac:dyDescent="0.25">
      <c r="A250" s="242">
        <v>0</v>
      </c>
    </row>
  </sheetData>
  <sheetProtection formatColumns="0" formatRows="0" insertColumns="0" insertHyperlinks="0" deleteColumns="0" deleteRows="0" autoFilter="0" pivotTables="0"/>
  <mergeCells count="26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A46:B47"/>
    <mergeCell ref="A16:G16"/>
    <mergeCell ref="B18:C18"/>
    <mergeCell ref="B20:C20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paperSize="9" scale="34" fitToHeight="0" orientation="portrait" r:id="rId1"/>
  <headerFooter>
    <oddHeader>&amp;LVer 2&amp;CPage &amp;P of &amp;N&amp;R&amp;D &amp;T</oddHeader>
    <oddFooter>&amp;LNQCL/ADDO/014</oddFooter>
  </headerFooter>
  <rowBreaks count="1" manualBreakCount="1">
    <brk id="84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</vt:lpstr>
      <vt:lpstr>Uniformity - Misoprostol</vt:lpstr>
      <vt:lpstr>MIFEPRISTONE</vt:lpstr>
      <vt:lpstr>Uniformity - Mifepristone</vt:lpstr>
      <vt:lpstr>MISOPROSTOL 2</vt:lpstr>
      <vt:lpstr>MIFEPRISTONE!Print_Area</vt:lpstr>
      <vt:lpstr>'MISOPROSTOL 2'!Print_Area</vt:lpstr>
      <vt:lpstr>'Uniformity - Mifepristone'!Print_Area</vt:lpstr>
      <vt:lpstr>'Uniformity - Misoprostol'!Print_Area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Nicholas Njuguna</cp:lastModifiedBy>
  <cp:lastPrinted>2016-07-04T07:03:21Z</cp:lastPrinted>
  <dcterms:created xsi:type="dcterms:W3CDTF">2005-07-05T10:19:27Z</dcterms:created>
  <dcterms:modified xsi:type="dcterms:W3CDTF">2016-07-04T08:30:48Z</dcterms:modified>
  <cp:category/>
</cp:coreProperties>
</file>