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SST (S2)" sheetId="6" r:id="rId2"/>
    <sheet name="Uniformity" sheetId="2" r:id="rId3"/>
    <sheet name="Eplerenone " sheetId="4" r:id="rId4"/>
  </sheets>
  <definedNames>
    <definedName name="_xlnm.Print_Area" localSheetId="3">'Eplerenone '!$A$1:$H$172</definedName>
    <definedName name="_xlnm.Print_Area" localSheetId="0">SST!$A$15:$G$61</definedName>
    <definedName name="_xlnm.Print_Area" localSheetId="1">'SST (S2)'!$A$15:$G$62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42" i="6" l="1"/>
  <c r="B41" i="6"/>
  <c r="B32" i="1"/>
  <c r="B31" i="1"/>
  <c r="B21" i="1"/>
  <c r="B20" i="1"/>
  <c r="C30" i="1"/>
  <c r="D30" i="1"/>
  <c r="E30" i="1"/>
  <c r="B30" i="1"/>
  <c r="B53" i="6" l="1"/>
  <c r="B52" i="6"/>
  <c r="B126" i="4"/>
  <c r="C168" i="4" l="1"/>
  <c r="B159" i="4"/>
  <c r="D143" i="4" s="1"/>
  <c r="D144" i="4" s="1"/>
  <c r="D145" i="4" s="1"/>
  <c r="B141" i="4"/>
  <c r="F138" i="4"/>
  <c r="D138" i="4"/>
  <c r="G137" i="4"/>
  <c r="E137" i="4"/>
  <c r="B130" i="4"/>
  <c r="F140" i="4" s="1"/>
  <c r="F141" i="4" s="1"/>
  <c r="F142" i="4" s="1"/>
  <c r="B116" i="4"/>
  <c r="D100" i="4" s="1"/>
  <c r="E113" i="4"/>
  <c r="F113" i="4" s="1"/>
  <c r="E112" i="4"/>
  <c r="F112" i="4" s="1"/>
  <c r="E111" i="4"/>
  <c r="F111" i="4" s="1"/>
  <c r="E110" i="4"/>
  <c r="F110" i="4" s="1"/>
  <c r="E109" i="4"/>
  <c r="F109" i="4" s="1"/>
  <c r="E108" i="4"/>
  <c r="F108" i="4" s="1"/>
  <c r="B98" i="4"/>
  <c r="F97" i="4"/>
  <c r="D97" i="4"/>
  <c r="F95" i="4"/>
  <c r="D95" i="4"/>
  <c r="G94" i="4"/>
  <c r="E94" i="4"/>
  <c r="B87" i="4"/>
  <c r="B82" i="4"/>
  <c r="B83" i="4" s="1"/>
  <c r="C76" i="4"/>
  <c r="H71" i="4"/>
  <c r="G71" i="4"/>
  <c r="G70" i="4"/>
  <c r="H70" i="4" s="1"/>
  <c r="G69" i="4"/>
  <c r="H69" i="4" s="1"/>
  <c r="G68" i="4"/>
  <c r="H68" i="4" s="1"/>
  <c r="B68" i="4"/>
  <c r="H67" i="4"/>
  <c r="G67" i="4"/>
  <c r="H66" i="4"/>
  <c r="G66" i="4"/>
  <c r="G65" i="4"/>
  <c r="H65" i="4" s="1"/>
  <c r="H64" i="4"/>
  <c r="G64" i="4"/>
  <c r="H63" i="4"/>
  <c r="G63" i="4"/>
  <c r="H62" i="4"/>
  <c r="G62" i="4"/>
  <c r="G61" i="4"/>
  <c r="H61" i="4" s="1"/>
  <c r="H60" i="4"/>
  <c r="G60" i="4"/>
  <c r="C56" i="4"/>
  <c r="B55" i="4"/>
  <c r="B45" i="4"/>
  <c r="D48" i="4" s="1"/>
  <c r="D49" i="4" s="1"/>
  <c r="F44" i="4"/>
  <c r="D44" i="4"/>
  <c r="F42" i="4"/>
  <c r="D42" i="4"/>
  <c r="G41" i="4"/>
  <c r="E41" i="4"/>
  <c r="B34" i="4"/>
  <c r="B30" i="4"/>
  <c r="C46" i="2"/>
  <c r="C45" i="2"/>
  <c r="D41" i="2"/>
  <c r="D37" i="2"/>
  <c r="D33" i="2"/>
  <c r="D29" i="2"/>
  <c r="D25" i="2"/>
  <c r="C19" i="2"/>
  <c r="B53" i="1"/>
  <c r="B52" i="1"/>
  <c r="D101" i="4" l="1"/>
  <c r="D102" i="4" s="1"/>
  <c r="D45" i="4"/>
  <c r="E39" i="4" s="1"/>
  <c r="F45" i="4"/>
  <c r="G40" i="4" s="1"/>
  <c r="D46" i="4"/>
  <c r="E38" i="4"/>
  <c r="E40" i="4"/>
  <c r="G39" i="4"/>
  <c r="H74" i="4"/>
  <c r="H72" i="4"/>
  <c r="H73" i="4" s="1"/>
  <c r="G135" i="4"/>
  <c r="G134" i="4"/>
  <c r="G136" i="4"/>
  <c r="F115" i="4"/>
  <c r="F116" i="4" s="1"/>
  <c r="D98" i="4"/>
  <c r="F98" i="4"/>
  <c r="C50" i="2"/>
  <c r="F117" i="4"/>
  <c r="D26" i="2"/>
  <c r="D38" i="2"/>
  <c r="D50" i="2"/>
  <c r="D31" i="2"/>
  <c r="D39" i="2"/>
  <c r="D43" i="2"/>
  <c r="C49" i="2"/>
  <c r="D140" i="4"/>
  <c r="D141" i="4" s="1"/>
  <c r="D30" i="2"/>
  <c r="D34" i="2"/>
  <c r="D42" i="2"/>
  <c r="B49" i="2"/>
  <c r="D27" i="2"/>
  <c r="D35" i="2"/>
  <c r="B57" i="4"/>
  <c r="B69" i="4" s="1"/>
  <c r="D24" i="2"/>
  <c r="D28" i="2"/>
  <c r="D32" i="2"/>
  <c r="D36" i="2"/>
  <c r="D40" i="2"/>
  <c r="D49" i="2"/>
  <c r="F99" i="4" l="1"/>
  <c r="G93" i="4"/>
  <c r="G92" i="4"/>
  <c r="G91" i="4"/>
  <c r="D99" i="4"/>
  <c r="E91" i="4"/>
  <c r="E93" i="4"/>
  <c r="E92" i="4"/>
  <c r="G138" i="4"/>
  <c r="G38" i="4"/>
  <c r="G42" i="4" s="1"/>
  <c r="F46" i="4"/>
  <c r="E42" i="4"/>
  <c r="G76" i="4"/>
  <c r="D142" i="4"/>
  <c r="E135" i="4"/>
  <c r="E136" i="4"/>
  <c r="E134" i="4"/>
  <c r="E138" i="4" s="1"/>
  <c r="G95" i="4" l="1"/>
  <c r="E95" i="4"/>
  <c r="D103" i="4"/>
  <c r="D104" i="4" s="1"/>
  <c r="D105" i="4"/>
  <c r="D52" i="4"/>
  <c r="D50" i="4"/>
  <c r="D51" i="4" s="1"/>
  <c r="D148" i="4"/>
  <c r="D146" i="4"/>
  <c r="E155" i="4" l="1"/>
  <c r="F155" i="4" s="1"/>
  <c r="E152" i="4"/>
  <c r="F152" i="4" s="1"/>
  <c r="E151" i="4"/>
  <c r="F151" i="4" s="1"/>
  <c r="E153" i="4"/>
  <c r="F153" i="4" s="1"/>
  <c r="E156" i="4"/>
  <c r="F156" i="4" s="1"/>
  <c r="E154" i="4"/>
  <c r="F154" i="4" s="1"/>
  <c r="D147" i="4"/>
  <c r="B167" i="4" l="1"/>
  <c r="B165" i="4"/>
  <c r="F160" i="4"/>
  <c r="F158" i="4"/>
  <c r="F159" i="4" s="1"/>
  <c r="G168" i="4" l="1"/>
  <c r="B166" i="4"/>
</calcChain>
</file>

<file path=xl/sharedStrings.xml><?xml version="1.0" encoding="utf-8"?>
<sst xmlns="http://schemas.openxmlformats.org/spreadsheetml/2006/main" count="349" uniqueCount="130">
  <si>
    <t>HPLC System Suitability Report</t>
  </si>
  <si>
    <t>Analysis Data</t>
  </si>
  <si>
    <t>Assay</t>
  </si>
  <si>
    <t>Sample(s)</t>
  </si>
  <si>
    <t>Reference Substance:</t>
  </si>
  <si>
    <t>EPLONE 25</t>
  </si>
  <si>
    <t>% age Purity:</t>
  </si>
  <si>
    <t>NDQD201512596</t>
  </si>
  <si>
    <t>Weight (mg):</t>
  </si>
  <si>
    <t>Eplerenone</t>
  </si>
  <si>
    <t>Standard Conc (mg/mL):</t>
  </si>
  <si>
    <t>Each film coated tablet contains: Eplerenone 25mg</t>
  </si>
  <si>
    <t>2015-12-08 12:13:53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</si>
  <si>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</si>
  <si>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</si>
  <si>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</si>
  <si>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</si>
  <si>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</si>
  <si>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</si>
  <si>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</si>
  <si>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</si>
  <si>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</si>
  <si>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</si>
  <si>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</si>
  <si>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</si>
  <si>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</si>
  <si>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</si>
  <si>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</si>
  <si>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</si>
  <si>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</si>
  <si>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</si>
  <si>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</si>
  <si>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</si>
  <si>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</si>
  <si>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</si>
  <si>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</si>
  <si>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</si>
  <si>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</si>
  <si>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</si>
  <si>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</si>
  <si>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</si>
  <si>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</si>
  <si>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</si>
  <si>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</si>
  <si>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</si>
  <si>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</si>
  <si>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</si>
  <si>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</si>
  <si>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</si>
  <si>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</si>
  <si>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</si>
  <si>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</si>
  <si>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</si>
  <si>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</si>
  <si>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</si>
  <si>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</si>
  <si>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</si>
  <si>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</si>
  <si>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</si>
  <si>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</si>
  <si>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</si>
  <si>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</si>
  <si>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</si>
  <si>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</si>
  <si>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</si>
  <si>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</si>
  <si>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</si>
  <si>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</si>
  <si>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</si>
  <si>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</si>
  <si>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</si>
  <si>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</si>
  <si>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</si>
  <si>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</si>
  <si>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</si>
  <si>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</si>
  <si>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</si>
  <si>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</si>
  <si>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</si>
  <si>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</si>
  <si>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</si>
  <si>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</si>
  <si>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</si>
  <si>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</si>
  <si>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</si>
  <si>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</si>
  <si>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</si>
  <si>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</si>
  <si>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</si>
  <si>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</si>
  <si>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</si>
  <si>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</si>
  <si>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</si>
  <si>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</si>
  <si>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</si>
  <si>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</si>
  <si>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</si>
  <si>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</si>
  <si>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</si>
  <si>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</si>
  <si>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</si>
  <si>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</si>
  <si>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</si>
  <si>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</si>
  <si>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</si>
  <si>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</si>
  <si>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</si>
  <si>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</si>
  <si>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</si>
  <si>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</si>
  <si>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</si>
  <si>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</si>
  <si>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</si>
  <si>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</si>
  <si>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</si>
  <si>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 please enter 0</t>
  </si>
  <si>
    <t>Initial Standard dilution (mL):</t>
  </si>
  <si>
    <t>Desired Concetration (mg/mL):</t>
  </si>
  <si>
    <t>Initial Sample dilution (mL):</t>
  </si>
  <si>
    <t>Desired Sample Weight (mg)</t>
  </si>
  <si>
    <t>Comment</t>
  </si>
  <si>
    <t>tablet No.</t>
  </si>
  <si>
    <t>Analysis Data:</t>
  </si>
  <si>
    <t>Repeat Determination of Active Ingredient Dissolved</t>
  </si>
  <si>
    <t>Inj</t>
  </si>
  <si>
    <t>Dissolution Result Summary</t>
  </si>
  <si>
    <t>E10-2</t>
  </si>
  <si>
    <t>RUTTO/MUTUA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</si>
  <si>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2500</t>
    </r>
  </si>
  <si>
    <t>Dissolution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</si>
</sst>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168" fontId="14" fillId="3" borderId="0" xfId="0" applyNumberFormat="1" applyFont="1" applyFill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3" fillId="3" borderId="21" xfId="0" applyFont="1" applyFill="1" applyBorder="1" applyAlignment="1" applyProtection="1">
      <alignment horizontal="center"/>
      <protection locked="0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3" fillId="3" borderId="42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0" fontId="19" fillId="2" borderId="0" xfId="0" applyFont="1" applyFill="1" applyAlignment="1">
      <alignment horizontal="left" vertical="center" wrapText="1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 applyAlignment="1">
      <alignment horizontal="center" wrapText="1"/>
    </xf>
    <xf numFmtId="10" fontId="11" fillId="2" borderId="0" xfId="0" applyNumberFormat="1" applyFont="1" applyFill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3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center" wrapText="1"/>
    </xf>
    <xf numFmtId="171" fontId="11" fillId="2" borderId="47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2" fillId="3" borderId="0" xfId="0" applyFont="1" applyFill="1" applyAlignment="1" applyProtection="1">
      <alignment horizontal="left" vertical="center"/>
      <protection locked="0"/>
    </xf>
    <xf numFmtId="0" fontId="14" fillId="3" borderId="0" xfId="0" applyFont="1" applyFill="1" applyAlignment="1" applyProtection="1">
      <alignment horizontal="left" vertical="center"/>
      <protection locked="0"/>
    </xf>
    <xf numFmtId="169" fontId="11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4" fillId="3" borderId="0" xfId="0" applyFont="1" applyFill="1" applyAlignment="1" applyProtection="1">
      <alignment horizontal="center" vertical="center"/>
      <protection locked="0"/>
    </xf>
    <xf numFmtId="0" fontId="18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2" fontId="13" fillId="3" borderId="0" xfId="0" applyNumberFormat="1" applyFont="1" applyFill="1" applyAlignment="1" applyProtection="1">
      <alignment horizontal="center" vertical="center"/>
      <protection locked="0"/>
    </xf>
    <xf numFmtId="2" fontId="12" fillId="2" borderId="0" xfId="0" applyNumberFormat="1" applyFont="1" applyFill="1" applyAlignment="1">
      <alignment horizontal="center" vertical="center"/>
    </xf>
    <xf numFmtId="170" fontId="12" fillId="2" borderId="0" xfId="0" applyNumberFormat="1" applyFont="1" applyFill="1" applyAlignment="1">
      <alignment horizontal="center" vertical="center"/>
    </xf>
    <xf numFmtId="0" fontId="11" fillId="2" borderId="21" xfId="0" applyFont="1" applyFill="1" applyBorder="1" applyAlignment="1">
      <alignment horizontal="right" vertical="center"/>
    </xf>
    <xf numFmtId="0" fontId="13" fillId="3" borderId="22" xfId="0" applyFont="1" applyFill="1" applyBorder="1" applyAlignment="1" applyProtection="1">
      <alignment horizontal="center" vertical="center"/>
      <protection locked="0"/>
    </xf>
    <xf numFmtId="0" fontId="11" fillId="2" borderId="23" xfId="0" applyFont="1" applyFill="1" applyBorder="1" applyAlignment="1">
      <alignment horizontal="right" vertical="center"/>
    </xf>
    <xf numFmtId="0" fontId="13" fillId="3" borderId="24" xfId="0" applyFont="1" applyFill="1" applyBorder="1" applyAlignment="1" applyProtection="1">
      <alignment horizontal="center" vertical="center"/>
      <protection locked="0"/>
    </xf>
    <xf numFmtId="0" fontId="12" fillId="2" borderId="52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171" fontId="11" fillId="2" borderId="28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1" fontId="11" fillId="2" borderId="0" xfId="0" applyNumberFormat="1" applyFont="1" applyFill="1" applyAlignment="1">
      <alignment horizontal="center" vertical="center"/>
    </xf>
    <xf numFmtId="171" fontId="11" fillId="2" borderId="24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3" fillId="3" borderId="58" xfId="0" applyFont="1" applyFill="1" applyBorder="1" applyAlignment="1" applyProtection="1">
      <alignment horizontal="center" vertical="center"/>
      <protection locked="0"/>
    </xf>
    <xf numFmtId="171" fontId="11" fillId="2" borderId="7" xfId="0" applyNumberFormat="1" applyFont="1" applyFill="1" applyBorder="1" applyAlignment="1">
      <alignment horizontal="center" vertical="center"/>
    </xf>
    <xf numFmtId="171" fontId="11" fillId="2" borderId="33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171" fontId="12" fillId="6" borderId="48" xfId="0" applyNumberFormat="1" applyFont="1" applyFill="1" applyBorder="1" applyAlignment="1">
      <alignment horizontal="center" vertical="center"/>
    </xf>
    <xf numFmtId="171" fontId="12" fillId="6" borderId="38" xfId="0" applyNumberFormat="1" applyFont="1" applyFill="1" applyBorder="1" applyAlignment="1">
      <alignment horizontal="center" vertical="center"/>
    </xf>
    <xf numFmtId="1" fontId="12" fillId="6" borderId="49" xfId="0" applyNumberFormat="1" applyFont="1" applyFill="1" applyBorder="1" applyAlignment="1">
      <alignment horizontal="center" vertical="center"/>
    </xf>
    <xf numFmtId="171" fontId="12" fillId="6" borderId="39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3" borderId="51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0" fontId="13" fillId="3" borderId="16" xfId="0" applyFont="1" applyFill="1" applyBorder="1" applyAlignment="1" applyProtection="1">
      <alignment horizontal="center" vertical="center"/>
      <protection locked="0"/>
    </xf>
    <xf numFmtId="0" fontId="11" fillId="2" borderId="25" xfId="0" applyFont="1" applyFill="1" applyBorder="1" applyAlignment="1">
      <alignment horizontal="right" vertical="center"/>
    </xf>
    <xf numFmtId="2" fontId="11" fillId="6" borderId="27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2" fontId="11" fillId="6" borderId="41" xfId="0" applyNumberFormat="1" applyFont="1" applyFill="1" applyBorder="1" applyAlignment="1">
      <alignment horizontal="center" vertical="center"/>
    </xf>
    <xf numFmtId="2" fontId="11" fillId="7" borderId="27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2" fontId="11" fillId="7" borderId="41" xfId="0" applyNumberFormat="1" applyFont="1" applyFill="1" applyBorder="1" applyAlignment="1">
      <alignment horizontal="center" vertical="center"/>
    </xf>
    <xf numFmtId="2" fontId="11" fillId="6" borderId="17" xfId="0" applyNumberFormat="1" applyFont="1" applyFill="1" applyBorder="1" applyAlignment="1">
      <alignment horizontal="center" vertical="center"/>
    </xf>
    <xf numFmtId="166" fontId="13" fillId="3" borderId="27" xfId="0" applyNumberFormat="1" applyFont="1" applyFill="1" applyBorder="1" applyAlignment="1" applyProtection="1">
      <alignment horizontal="center" vertical="center"/>
      <protection locked="0"/>
    </xf>
    <xf numFmtId="1" fontId="11" fillId="2" borderId="0" xfId="0" applyNumberFormat="1" applyFont="1" applyFill="1" applyAlignment="1">
      <alignment horizontal="center" vertical="center"/>
    </xf>
    <xf numFmtId="0" fontId="11" fillId="2" borderId="52" xfId="0" applyFont="1" applyFill="1" applyBorder="1" applyAlignment="1">
      <alignment horizontal="right" vertical="center"/>
    </xf>
    <xf numFmtId="2" fontId="11" fillId="6" borderId="30" xfId="0" applyNumberFormat="1" applyFont="1" applyFill="1" applyBorder="1" applyAlignment="1">
      <alignment horizontal="center" vertical="center"/>
    </xf>
    <xf numFmtId="171" fontId="11" fillId="2" borderId="0" xfId="0" applyNumberFormat="1" applyFont="1" applyFill="1" applyAlignment="1">
      <alignment horizontal="center" vertical="center"/>
    </xf>
    <xf numFmtId="0" fontId="11" fillId="2" borderId="16" xfId="0" applyFont="1" applyFill="1" applyBorder="1" applyAlignment="1">
      <alignment horizontal="right" vertical="center"/>
    </xf>
    <xf numFmtId="171" fontId="12" fillId="7" borderId="16" xfId="0" applyNumberFormat="1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right" vertical="center"/>
    </xf>
    <xf numFmtId="10" fontId="11" fillId="6" borderId="41" xfId="0" applyNumberFormat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right" vertical="center"/>
    </xf>
    <xf numFmtId="0" fontId="11" fillId="7" borderId="17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/>
    </xf>
    <xf numFmtId="2" fontId="12" fillId="2" borderId="13" xfId="0" applyNumberFormat="1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2" fontId="11" fillId="2" borderId="21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3" fillId="3" borderId="23" xfId="0" applyFont="1" applyFill="1" applyBorder="1" applyAlignment="1" applyProtection="1">
      <alignment horizontal="center" vertical="center"/>
      <protection locked="0"/>
    </xf>
    <xf numFmtId="2" fontId="11" fillId="2" borderId="23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3" fillId="3" borderId="42" xfId="0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right" vertical="center"/>
    </xf>
    <xf numFmtId="2" fontId="12" fillId="2" borderId="43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4" xfId="0" applyFont="1" applyFill="1" applyBorder="1" applyAlignment="1">
      <alignment horizontal="right" vertical="center"/>
    </xf>
    <xf numFmtId="2" fontId="11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vertical="center"/>
    </xf>
    <xf numFmtId="0" fontId="12" fillId="2" borderId="46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3" fillId="3" borderId="29" xfId="0" applyFont="1" applyFill="1" applyBorder="1" applyAlignment="1" applyProtection="1">
      <alignment horizontal="center" vertical="center"/>
      <protection locked="0"/>
    </xf>
    <xf numFmtId="171" fontId="11" fillId="2" borderId="26" xfId="0" applyNumberFormat="1" applyFont="1" applyFill="1" applyBorder="1" applyAlignment="1">
      <alignment horizontal="center" vertical="center"/>
    </xf>
    <xf numFmtId="1" fontId="13" fillId="3" borderId="29" xfId="0" applyNumberFormat="1" applyFont="1" applyFill="1" applyBorder="1" applyAlignment="1" applyProtection="1">
      <alignment horizontal="center" vertical="center"/>
      <protection locked="0"/>
    </xf>
    <xf numFmtId="171" fontId="11" fillId="2" borderId="30" xfId="0" applyNumberFormat="1" applyFont="1" applyFill="1" applyBorder="1" applyAlignment="1">
      <alignment horizontal="center" vertical="center"/>
    </xf>
    <xf numFmtId="171" fontId="11" fillId="2" borderId="31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 vertical="center"/>
      <protection locked="0"/>
    </xf>
    <xf numFmtId="171" fontId="11" fillId="2" borderId="32" xfId="0" applyNumberFormat="1" applyFont="1" applyFill="1" applyBorder="1" applyAlignment="1">
      <alignment horizontal="center" vertical="center"/>
    </xf>
    <xf numFmtId="0" fontId="13" fillId="3" borderId="34" xfId="0" applyFont="1" applyFill="1" applyBorder="1" applyAlignment="1" applyProtection="1">
      <alignment horizontal="center" vertical="center"/>
      <protection locked="0"/>
    </xf>
    <xf numFmtId="171" fontId="11" fillId="2" borderId="35" xfId="0" applyNumberFormat="1" applyFont="1" applyFill="1" applyBorder="1" applyAlignment="1">
      <alignment horizontal="center" vertical="center"/>
    </xf>
    <xf numFmtId="1" fontId="13" fillId="3" borderId="34" xfId="0" applyNumberFormat="1" applyFont="1" applyFill="1" applyBorder="1" applyAlignment="1" applyProtection="1">
      <alignment horizontal="center" vertical="center"/>
      <protection locked="0"/>
    </xf>
    <xf numFmtId="171" fontId="11" fillId="2" borderId="36" xfId="0" applyNumberFormat="1" applyFont="1" applyFill="1" applyBorder="1" applyAlignment="1">
      <alignment horizontal="center" vertical="center"/>
    </xf>
    <xf numFmtId="171" fontId="12" fillId="6" borderId="49" xfId="0" applyNumberFormat="1" applyFont="1" applyFill="1" applyBorder="1" applyAlignment="1">
      <alignment horizontal="center" vertical="center"/>
    </xf>
    <xf numFmtId="171" fontId="12" fillId="6" borderId="15" xfId="0" applyNumberFormat="1" applyFont="1" applyFill="1" applyBorder="1" applyAlignment="1">
      <alignment horizontal="center" vertical="center"/>
    </xf>
    <xf numFmtId="164" fontId="11" fillId="6" borderId="27" xfId="0" applyNumberFormat="1" applyFont="1" applyFill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1" fillId="6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66" fontId="11" fillId="7" borderId="27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11" fillId="7" borderId="3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0" fontId="12" fillId="6" borderId="41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2" fillId="2" borderId="46" xfId="0" applyFont="1" applyFill="1" applyBorder="1" applyAlignment="1">
      <alignment horizontal="center" vertical="center"/>
    </xf>
    <xf numFmtId="0" fontId="12" fillId="2" borderId="53" xfId="0" applyFont="1" applyFill="1" applyBorder="1" applyAlignment="1">
      <alignment horizontal="center" vertical="center"/>
    </xf>
    <xf numFmtId="0" fontId="12" fillId="2" borderId="54" xfId="0" applyFont="1" applyFill="1" applyBorder="1" applyAlignment="1">
      <alignment vertical="center"/>
    </xf>
    <xf numFmtId="0" fontId="12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/>
    </xf>
    <xf numFmtId="1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1" fillId="2" borderId="26" xfId="0" applyNumberFormat="1" applyFont="1" applyFill="1" applyBorder="1" applyAlignment="1">
      <alignment horizontal="center" vertical="center"/>
    </xf>
    <xf numFmtId="10" fontId="11" fillId="2" borderId="30" xfId="0" applyNumberFormat="1" applyFont="1" applyFill="1" applyBorder="1" applyAlignment="1">
      <alignment horizontal="center" vertical="center"/>
    </xf>
    <xf numFmtId="2" fontId="11" fillId="2" borderId="31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 vertical="center"/>
      <protection locked="0"/>
    </xf>
    <xf numFmtId="2" fontId="11" fillId="2" borderId="35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24" xfId="0" applyNumberFormat="1" applyFont="1" applyFill="1" applyBorder="1" applyAlignment="1">
      <alignment horizontal="center" vertical="center"/>
    </xf>
    <xf numFmtId="171" fontId="12" fillId="2" borderId="0" xfId="0" applyNumberFormat="1" applyFont="1" applyFill="1" applyAlignment="1">
      <alignment horizontal="center" vertical="center"/>
    </xf>
    <xf numFmtId="171" fontId="11" fillId="2" borderId="2" xfId="0" applyNumberFormat="1" applyFont="1" applyFill="1" applyBorder="1" applyAlignment="1">
      <alignment horizontal="right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2" borderId="42" xfId="0" applyFont="1" applyFill="1" applyBorder="1" applyAlignment="1">
      <alignment vertical="center"/>
    </xf>
    <xf numFmtId="0" fontId="11" fillId="2" borderId="59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right"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0" fontId="11" fillId="2" borderId="7" xfId="0" applyFont="1" applyFill="1" applyBorder="1" applyAlignment="1" applyProtection="1">
      <alignment vertical="center"/>
      <protection locked="0"/>
    </xf>
    <xf numFmtId="0" fontId="11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2" fillId="2" borderId="11" xfId="0" applyFont="1" applyFill="1" applyBorder="1" applyAlignment="1" applyProtection="1">
      <alignment vertical="center"/>
      <protection locked="0"/>
    </xf>
    <xf numFmtId="0" fontId="12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10" fontId="13" fillId="7" borderId="27" xfId="0" applyNumberFormat="1" applyFont="1" applyFill="1" applyBorder="1" applyAlignment="1">
      <alignment horizontal="center" vertical="center"/>
    </xf>
    <xf numFmtId="10" fontId="13" fillId="6" borderId="27" xfId="0" applyNumberFormat="1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0" fontId="11" fillId="2" borderId="60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0" fontId="11" fillId="2" borderId="21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6" borderId="41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" fontId="1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37" xfId="0" applyFont="1" applyFill="1" applyBorder="1" applyAlignment="1">
      <alignment horizontal="right"/>
    </xf>
    <xf numFmtId="2" fontId="11" fillId="7" borderId="6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0" fontId="11" fillId="2" borderId="44" xfId="0" applyFont="1" applyFill="1" applyBorder="1" applyAlignment="1">
      <alignment horizontal="right"/>
    </xf>
    <xf numFmtId="171" fontId="12" fillId="7" borderId="4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3" fillId="2" borderId="0" xfId="0" applyFont="1" applyFill="1"/>
    <xf numFmtId="0" fontId="12" fillId="2" borderId="46" xfId="0" applyFont="1" applyFill="1" applyBorder="1" applyAlignment="1">
      <alignment horizontal="center"/>
    </xf>
    <xf numFmtId="0" fontId="12" fillId="2" borderId="54" xfId="0" applyFont="1" applyFill="1" applyBorder="1"/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0" fontId="11" fillId="2" borderId="23" xfId="0" applyFont="1" applyFill="1" applyBorder="1"/>
    <xf numFmtId="0" fontId="11" fillId="2" borderId="42" xfId="0" applyFont="1" applyFill="1" applyBorder="1"/>
    <xf numFmtId="0" fontId="3" fillId="2" borderId="0" xfId="0" applyFont="1" applyFill="1" applyAlignment="1">
      <alignment horizontal="left" vertical="center"/>
    </xf>
    <xf numFmtId="0" fontId="13" fillId="3" borderId="13" xfId="0" applyFont="1" applyFill="1" applyBorder="1" applyAlignment="1" applyProtection="1">
      <alignment horizontal="center" vertical="center"/>
      <protection locked="0"/>
    </xf>
    <xf numFmtId="0" fontId="12" fillId="2" borderId="52" xfId="0" applyFont="1" applyFill="1" applyBorder="1" applyAlignment="1">
      <alignment horizontal="center"/>
    </xf>
    <xf numFmtId="0" fontId="13" fillId="3" borderId="62" xfId="0" applyFont="1" applyFill="1" applyBorder="1" applyAlignment="1" applyProtection="1">
      <alignment horizontal="center" vertical="center"/>
      <protection locked="0"/>
    </xf>
    <xf numFmtId="0" fontId="13" fillId="3" borderId="32" xfId="0" applyFont="1" applyFill="1" applyBorder="1" applyAlignment="1" applyProtection="1">
      <alignment horizontal="center" vertical="center"/>
      <protection locked="0"/>
    </xf>
    <xf numFmtId="171" fontId="11" fillId="2" borderId="39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 vertical="center"/>
    </xf>
    <xf numFmtId="0" fontId="12" fillId="2" borderId="54" xfId="0" applyFont="1" applyFill="1" applyBorder="1" applyAlignment="1">
      <alignment horizontal="center"/>
    </xf>
    <xf numFmtId="0" fontId="13" fillId="3" borderId="26" xfId="0" applyFont="1" applyFill="1" applyBorder="1" applyAlignment="1" applyProtection="1">
      <alignment horizontal="center" vertical="center"/>
      <protection locked="0"/>
    </xf>
    <xf numFmtId="0" fontId="13" fillId="3" borderId="31" xfId="0" applyFont="1" applyFill="1" applyBorder="1" applyAlignment="1" applyProtection="1">
      <alignment horizontal="center" vertical="center"/>
      <protection locked="0"/>
    </xf>
    <xf numFmtId="0" fontId="13" fillId="3" borderId="35" xfId="0" applyFont="1" applyFill="1" applyBorder="1" applyAlignment="1" applyProtection="1">
      <alignment horizontal="center" vertical="center"/>
      <protection locked="0"/>
    </xf>
    <xf numFmtId="171" fontId="11" fillId="2" borderId="46" xfId="0" applyNumberFormat="1" applyFont="1" applyFill="1" applyBorder="1" applyAlignment="1">
      <alignment horizontal="right"/>
    </xf>
    <xf numFmtId="0" fontId="11" fillId="2" borderId="63" xfId="0" applyFont="1" applyFill="1" applyBorder="1" applyAlignment="1">
      <alignment horizontal="right"/>
    </xf>
    <xf numFmtId="165" fontId="13" fillId="6" borderId="27" xfId="0" applyNumberFormat="1" applyFont="1" applyFill="1" applyBorder="1" applyAlignment="1">
      <alignment horizontal="center"/>
    </xf>
    <xf numFmtId="165" fontId="13" fillId="7" borderId="51" xfId="0" applyNumberFormat="1" applyFont="1" applyFill="1" applyBorder="1" applyAlignment="1">
      <alignment horizontal="center"/>
    </xf>
    <xf numFmtId="165" fontId="13" fillId="2" borderId="0" xfId="0" applyNumberFormat="1" applyFont="1" applyFill="1" applyAlignment="1">
      <alignment horizontal="center" vertical="center"/>
    </xf>
    <xf numFmtId="0" fontId="13" fillId="7" borderId="61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3" fillId="7" borderId="45" xfId="0" applyFont="1" applyFill="1" applyBorder="1" applyAlignment="1">
      <alignment horizontal="center"/>
    </xf>
    <xf numFmtId="10" fontId="13" fillId="7" borderId="56" xfId="0" applyNumberFormat="1" applyFont="1" applyFill="1" applyBorder="1" applyAlignment="1">
      <alignment horizontal="center"/>
    </xf>
    <xf numFmtId="10" fontId="13" fillId="6" borderId="56" xfId="0" applyNumberFormat="1" applyFont="1" applyFill="1" applyBorder="1" applyAlignment="1">
      <alignment horizontal="center"/>
    </xf>
    <xf numFmtId="171" fontId="11" fillId="2" borderId="1" xfId="0" applyNumberFormat="1" applyFont="1" applyFill="1" applyBorder="1" applyAlignment="1">
      <alignment horizontal="right"/>
    </xf>
    <xf numFmtId="0" fontId="11" fillId="2" borderId="1" xfId="0" applyFont="1" applyFill="1" applyBorder="1" applyAlignment="1">
      <alignment horizontal="right"/>
    </xf>
    <xf numFmtId="0" fontId="11" fillId="2" borderId="64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 vertical="center"/>
    </xf>
    <xf numFmtId="10" fontId="13" fillId="6" borderId="56" xfId="0" applyNumberFormat="1" applyFont="1" applyFill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166" fontId="12" fillId="2" borderId="0" xfId="0" applyNumberFormat="1" applyFont="1" applyFill="1" applyAlignment="1" applyProtection="1">
      <alignment horizontal="center" vertical="center"/>
      <protection locked="0"/>
    </xf>
    <xf numFmtId="0" fontId="1" fillId="2" borderId="10" xfId="0" applyFont="1" applyFill="1" applyBorder="1" applyAlignment="1">
      <alignment horizontal="center"/>
    </xf>
    <xf numFmtId="14" fontId="6" fillId="2" borderId="0" xfId="0" applyNumberFormat="1" applyFont="1" applyFill="1"/>
    <xf numFmtId="14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left" wrapText="1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18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vertical="center"/>
      <protection locked="0"/>
    </xf>
    <xf numFmtId="0" fontId="14" fillId="3" borderId="0" xfId="0" applyFont="1" applyFill="1" applyAlignment="1" applyProtection="1">
      <alignment horizontal="left" vertical="center"/>
      <protection locked="0"/>
    </xf>
    <xf numFmtId="0" fontId="20" fillId="2" borderId="10" xfId="0" applyFont="1" applyFill="1" applyBorder="1" applyAlignment="1">
      <alignment horizontal="center" vertical="center"/>
    </xf>
    <xf numFmtId="0" fontId="12" fillId="2" borderId="46" xfId="0" applyFont="1" applyFill="1" applyBorder="1" applyAlignment="1">
      <alignment horizontal="center" vertical="center"/>
    </xf>
    <xf numFmtId="0" fontId="12" fillId="2" borderId="5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2" fillId="2" borderId="0" xfId="0" applyFont="1" applyFill="1" applyAlignment="1">
      <alignment horizontal="center" vertical="center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0" xfId="0" applyFont="1" applyFill="1" applyBorder="1" applyAlignment="1">
      <alignment horizontal="center" vertical="center"/>
    </xf>
    <xf numFmtId="0" fontId="12" fillId="2" borderId="46" xfId="0" applyFont="1" applyFill="1" applyBorder="1" applyAlignment="1">
      <alignment horizontal="center"/>
    </xf>
    <xf numFmtId="0" fontId="12" fillId="2" borderId="57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2" fontId="5" fillId="4" borderId="2" xfId="0" applyNumberFormat="1" applyFont="1" applyFill="1" applyBorder="1" applyAlignment="1">
      <alignment horizontal="center"/>
    </xf>
    <xf numFmtId="172" fontId="5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45" sqref="C4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8" t="s">
        <v>0</v>
      </c>
      <c r="B15" s="368"/>
      <c r="C15" s="368"/>
      <c r="D15" s="368"/>
      <c r="E15" s="36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99.86</v>
      </c>
      <c r="C19" s="10"/>
      <c r="D19" s="10"/>
      <c r="E19" s="10"/>
    </row>
    <row r="20" spans="1:6" ht="16.5" customHeight="1" x14ac:dyDescent="0.3">
      <c r="A20" s="7" t="s">
        <v>8</v>
      </c>
      <c r="B20" s="12">
        <f>'Eplerenone '!D43</f>
        <v>25.37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B20/'Eplerenone '!B45</f>
        <v>0.25370000000000004</v>
      </c>
      <c r="C21" s="10"/>
      <c r="D21" s="10"/>
      <c r="E21" s="10"/>
    </row>
    <row r="22" spans="1:6" ht="15.75" customHeight="1" x14ac:dyDescent="0.25">
      <c r="A22" s="10"/>
      <c r="B22" s="366">
        <v>42453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20265624</v>
      </c>
      <c r="C24" s="18">
        <v>5478.25</v>
      </c>
      <c r="D24" s="19">
        <v>1.4</v>
      </c>
      <c r="E24" s="20">
        <v>2.68</v>
      </c>
    </row>
    <row r="25" spans="1:6" ht="16.5" customHeight="1" x14ac:dyDescent="0.3">
      <c r="A25" s="17">
        <v>2</v>
      </c>
      <c r="B25" s="18">
        <v>20208151</v>
      </c>
      <c r="C25" s="18">
        <v>5461.88</v>
      </c>
      <c r="D25" s="19">
        <v>1.34</v>
      </c>
      <c r="E25" s="19">
        <v>2.68</v>
      </c>
    </row>
    <row r="26" spans="1:6" ht="16.5" customHeight="1" x14ac:dyDescent="0.3">
      <c r="A26" s="17">
        <v>3</v>
      </c>
      <c r="B26" s="18">
        <v>20228262</v>
      </c>
      <c r="C26" s="18">
        <v>5482.48</v>
      </c>
      <c r="D26" s="19">
        <v>1.37</v>
      </c>
      <c r="E26" s="19">
        <v>2.68</v>
      </c>
    </row>
    <row r="27" spans="1:6" ht="16.5" customHeight="1" x14ac:dyDescent="0.3">
      <c r="A27" s="17">
        <v>4</v>
      </c>
      <c r="B27" s="18">
        <v>20217948</v>
      </c>
      <c r="C27" s="18">
        <v>5446.2</v>
      </c>
      <c r="D27" s="19">
        <v>1.33</v>
      </c>
      <c r="E27" s="19">
        <v>2.68</v>
      </c>
    </row>
    <row r="28" spans="1:6" ht="16.5" customHeight="1" x14ac:dyDescent="0.3">
      <c r="A28" s="17">
        <v>5</v>
      </c>
      <c r="B28" s="18">
        <v>20152093</v>
      </c>
      <c r="C28" s="18">
        <v>5496.99</v>
      </c>
      <c r="D28" s="19">
        <v>1.39</v>
      </c>
      <c r="E28" s="19">
        <v>2.68</v>
      </c>
    </row>
    <row r="29" spans="1:6" ht="16.5" customHeight="1" x14ac:dyDescent="0.3">
      <c r="A29" s="17">
        <v>6</v>
      </c>
      <c r="B29" s="21">
        <v>20304051</v>
      </c>
      <c r="C29" s="21">
        <v>5463.47</v>
      </c>
      <c r="D29" s="22">
        <v>1.32</v>
      </c>
      <c r="E29" s="22">
        <v>2.69</v>
      </c>
    </row>
    <row r="30" spans="1:6" ht="16.5" customHeight="1" x14ac:dyDescent="0.3">
      <c r="A30" s="23" t="s">
        <v>18</v>
      </c>
      <c r="B30" s="24">
        <f>AVERAGE(B24:B29)</f>
        <v>20229354.833333332</v>
      </c>
      <c r="C30" s="411">
        <f t="shared" ref="C30:E30" si="0">AVERAGE(C24:C29)</f>
        <v>5471.545000000001</v>
      </c>
      <c r="D30" s="411">
        <f t="shared" si="0"/>
        <v>1.3583333333333334</v>
      </c>
      <c r="E30" s="411">
        <f t="shared" si="0"/>
        <v>2.6816666666666666</v>
      </c>
    </row>
    <row r="31" spans="1:6" ht="16.5" customHeight="1" x14ac:dyDescent="0.3">
      <c r="A31" s="27" t="s">
        <v>19</v>
      </c>
      <c r="B31" s="28">
        <f>(STDEV(B24:B29)/B30)</f>
        <v>2.5634082837727025E-3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128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9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99.86</v>
      </c>
      <c r="C40" s="10"/>
      <c r="D40" s="10"/>
      <c r="E40" s="10"/>
    </row>
    <row r="41" spans="1:6" ht="16.5" customHeight="1" x14ac:dyDescent="0.3">
      <c r="A41" s="7" t="s">
        <v>8</v>
      </c>
      <c r="B41" s="12">
        <v>25</v>
      </c>
      <c r="C41" s="10"/>
      <c r="D41" s="10"/>
      <c r="E41" s="10"/>
    </row>
    <row r="42" spans="1:6" ht="16.5" customHeight="1" x14ac:dyDescent="0.3">
      <c r="A42" s="7" t="s">
        <v>10</v>
      </c>
      <c r="B42" s="13">
        <v>2.5000000000000001E-2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9614445</v>
      </c>
      <c r="C45" s="18">
        <v>7444.3</v>
      </c>
      <c r="D45" s="19">
        <v>1.4</v>
      </c>
      <c r="E45" s="20">
        <v>4.9000000000000004</v>
      </c>
    </row>
    <row r="46" spans="1:6" ht="16.5" customHeight="1" x14ac:dyDescent="0.3">
      <c r="A46" s="17">
        <v>2</v>
      </c>
      <c r="B46" s="18">
        <v>9553615</v>
      </c>
      <c r="C46" s="18">
        <v>7452.3</v>
      </c>
      <c r="D46" s="19">
        <v>1.3</v>
      </c>
      <c r="E46" s="19">
        <v>4.9000000000000004</v>
      </c>
    </row>
    <row r="47" spans="1:6" ht="16.5" customHeight="1" x14ac:dyDescent="0.3">
      <c r="A47" s="17">
        <v>3</v>
      </c>
      <c r="B47" s="18">
        <v>9621428</v>
      </c>
      <c r="C47" s="18">
        <v>7419.3</v>
      </c>
      <c r="D47" s="19">
        <v>1.4</v>
      </c>
      <c r="E47" s="19">
        <v>4.9000000000000004</v>
      </c>
    </row>
    <row r="48" spans="1:6" ht="16.5" customHeight="1" x14ac:dyDescent="0.3">
      <c r="A48" s="17">
        <v>4</v>
      </c>
      <c r="B48" s="18">
        <v>9611760</v>
      </c>
      <c r="C48" s="18">
        <v>7422.8</v>
      </c>
      <c r="D48" s="19">
        <v>1.4</v>
      </c>
      <c r="E48" s="19">
        <v>4.9000000000000004</v>
      </c>
    </row>
    <row r="49" spans="1:7" ht="16.5" customHeight="1" x14ac:dyDescent="0.3">
      <c r="A49" s="17">
        <v>5</v>
      </c>
      <c r="B49" s="18">
        <v>9623489</v>
      </c>
      <c r="C49" s="18">
        <v>7430.5</v>
      </c>
      <c r="D49" s="19">
        <v>1.3</v>
      </c>
      <c r="E49" s="19">
        <v>4.9000000000000004</v>
      </c>
    </row>
    <row r="50" spans="1:7" ht="16.5" customHeight="1" x14ac:dyDescent="0.3">
      <c r="A50" s="17">
        <v>6</v>
      </c>
      <c r="B50" s="21">
        <v>9578100</v>
      </c>
      <c r="C50" s="21">
        <v>7407.8</v>
      </c>
      <c r="D50" s="22">
        <v>1.3</v>
      </c>
      <c r="E50" s="22">
        <v>4.9000000000000004</v>
      </c>
    </row>
    <row r="51" spans="1:7" ht="16.5" customHeight="1" x14ac:dyDescent="0.3">
      <c r="A51" s="23" t="s">
        <v>18</v>
      </c>
      <c r="B51" s="24">
        <v>9600472.833333334</v>
      </c>
      <c r="C51" s="412">
        <v>7429.5</v>
      </c>
      <c r="D51" s="26">
        <v>1.3499999999999999</v>
      </c>
      <c r="E51" s="26">
        <v>4.8999999999999995</v>
      </c>
    </row>
    <row r="52" spans="1:7" ht="16.5" customHeight="1" x14ac:dyDescent="0.3">
      <c r="A52" s="27" t="s">
        <v>19</v>
      </c>
      <c r="B52" s="28">
        <f>(STDEV(B45:B50)/B51)</f>
        <v>2.9415943471157815E-3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128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69" t="s">
        <v>26</v>
      </c>
      <c r="C59" s="36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 t="s">
        <v>127</v>
      </c>
      <c r="E60" s="367">
        <v>42494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B57" sqref="B57"/>
    </sheetView>
  </sheetViews>
  <sheetFormatPr defaultRowHeight="13.5" x14ac:dyDescent="0.25"/>
  <cols>
    <col min="1" max="1" width="27.5703125" style="304" customWidth="1"/>
    <col min="2" max="2" width="20.42578125" style="304" customWidth="1"/>
    <col min="3" max="3" width="31.85546875" style="304" customWidth="1"/>
    <col min="4" max="4" width="25.85546875" style="304" customWidth="1"/>
    <col min="5" max="5" width="25.7109375" style="304" customWidth="1"/>
    <col min="6" max="6" width="23.140625" style="304" customWidth="1"/>
    <col min="7" max="7" width="28.42578125" style="304" customWidth="1"/>
    <col min="8" max="8" width="21.5703125" style="304" customWidth="1"/>
    <col min="9" max="9" width="9.140625" style="30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68" t="s">
        <v>0</v>
      </c>
      <c r="B15" s="368"/>
      <c r="C15" s="368"/>
      <c r="D15" s="368"/>
      <c r="E15" s="368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12" t="s">
        <v>9</v>
      </c>
      <c r="C18" s="72"/>
      <c r="D18" s="72"/>
      <c r="E18" s="72"/>
    </row>
    <row r="19" spans="1:5" ht="16.5" customHeight="1" x14ac:dyDescent="0.3">
      <c r="A19" s="75" t="s">
        <v>6</v>
      </c>
      <c r="C19" s="72"/>
      <c r="D19" s="72"/>
      <c r="E19" s="72"/>
    </row>
    <row r="20" spans="1:5" ht="16.5" customHeight="1" x14ac:dyDescent="0.3">
      <c r="A20" s="8" t="s">
        <v>8</v>
      </c>
      <c r="C20" s="72"/>
      <c r="D20" s="72"/>
      <c r="E20" s="72"/>
    </row>
    <row r="21" spans="1:5" ht="16.5" customHeight="1" x14ac:dyDescent="0.3">
      <c r="A21" s="8" t="s">
        <v>10</v>
      </c>
      <c r="C21" s="72"/>
      <c r="D21" s="72"/>
      <c r="E21" s="72"/>
    </row>
    <row r="22" spans="1:5" ht="15.75" customHeight="1" x14ac:dyDescent="0.25">
      <c r="A22" s="72"/>
      <c r="B22" s="366">
        <v>42453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/>
      <c r="C24" s="18"/>
      <c r="D24" s="19"/>
      <c r="E24" s="20"/>
    </row>
    <row r="25" spans="1:5" ht="16.5" customHeight="1" x14ac:dyDescent="0.3">
      <c r="A25" s="17">
        <v>2</v>
      </c>
      <c r="B25" s="18"/>
      <c r="C25" s="18"/>
      <c r="D25" s="19"/>
      <c r="E25" s="19"/>
    </row>
    <row r="26" spans="1:5" ht="16.5" customHeight="1" x14ac:dyDescent="0.3">
      <c r="A26" s="17">
        <v>3</v>
      </c>
      <c r="B26" s="18"/>
      <c r="C26" s="18"/>
      <c r="D26" s="19"/>
      <c r="E26" s="19"/>
    </row>
    <row r="27" spans="1:5" ht="16.5" customHeight="1" x14ac:dyDescent="0.3">
      <c r="A27" s="17">
        <v>4</v>
      </c>
      <c r="B27" s="18"/>
      <c r="C27" s="18"/>
      <c r="D27" s="19"/>
      <c r="E27" s="19"/>
    </row>
    <row r="28" spans="1:5" ht="16.5" customHeight="1" x14ac:dyDescent="0.3">
      <c r="A28" s="17">
        <v>5</v>
      </c>
      <c r="B28" s="18"/>
      <c r="C28" s="18"/>
      <c r="D28" s="19"/>
      <c r="E28" s="19"/>
    </row>
    <row r="29" spans="1:5" ht="16.5" customHeight="1" x14ac:dyDescent="0.3">
      <c r="A29" s="17">
        <v>6</v>
      </c>
      <c r="B29" s="21"/>
      <c r="C29" s="21"/>
      <c r="D29" s="22"/>
      <c r="E29" s="22"/>
    </row>
    <row r="30" spans="1:5" ht="16.5" customHeight="1" x14ac:dyDescent="0.3">
      <c r="A30" s="23" t="s">
        <v>18</v>
      </c>
      <c r="B30" s="24"/>
      <c r="C30" s="25"/>
      <c r="D30" s="26"/>
      <c r="E30" s="26"/>
    </row>
    <row r="31" spans="1:5" ht="16.5" customHeight="1" x14ac:dyDescent="0.3">
      <c r="A31" s="27" t="s">
        <v>19</v>
      </c>
      <c r="B31" s="28"/>
      <c r="C31" s="29"/>
      <c r="D31" s="29"/>
      <c r="E31" s="30"/>
    </row>
    <row r="32" spans="1:5" s="304" customFormat="1" ht="16.5" customHeight="1" x14ac:dyDescent="0.3">
      <c r="A32" s="31" t="s">
        <v>20</v>
      </c>
      <c r="B32" s="32"/>
      <c r="C32" s="33"/>
      <c r="D32" s="73"/>
      <c r="E32" s="35"/>
    </row>
    <row r="33" spans="1:5" s="304" customFormat="1" ht="15.75" customHeight="1" x14ac:dyDescent="0.25">
      <c r="A33" s="72"/>
      <c r="B33" s="72"/>
      <c r="C33" s="72"/>
      <c r="D33" s="72"/>
      <c r="E33" s="72"/>
    </row>
    <row r="34" spans="1:5" s="304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129</v>
      </c>
    </row>
    <row r="39" spans="1:5" ht="16.5" customHeight="1" x14ac:dyDescent="0.3">
      <c r="A39" s="75" t="s">
        <v>4</v>
      </c>
      <c r="B39" s="8" t="s">
        <v>9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99.86</v>
      </c>
      <c r="C40" s="72"/>
      <c r="D40" s="72"/>
      <c r="E40" s="72"/>
    </row>
    <row r="41" spans="1:5" ht="16.5" customHeight="1" x14ac:dyDescent="0.3">
      <c r="A41" s="8" t="s">
        <v>8</v>
      </c>
      <c r="B41" s="12">
        <f>'Eplerenone '!D139</f>
        <v>25.01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B41/'Eplerenone '!B141</f>
        <v>2.5010000000000001E-2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6731097</v>
      </c>
      <c r="C45" s="18">
        <v>5610.22</v>
      </c>
      <c r="D45" s="19">
        <v>1.27</v>
      </c>
      <c r="E45" s="20">
        <v>3.08</v>
      </c>
    </row>
    <row r="46" spans="1:5" ht="16.5" customHeight="1" x14ac:dyDescent="0.3">
      <c r="A46" s="17">
        <v>2</v>
      </c>
      <c r="B46" s="18">
        <v>6738208</v>
      </c>
      <c r="C46" s="18">
        <v>5595.68</v>
      </c>
      <c r="D46" s="19">
        <v>1.25</v>
      </c>
      <c r="E46" s="19">
        <v>3.08</v>
      </c>
    </row>
    <row r="47" spans="1:5" ht="16.5" customHeight="1" x14ac:dyDescent="0.3">
      <c r="A47" s="17">
        <v>3</v>
      </c>
      <c r="B47" s="18">
        <v>6751980</v>
      </c>
      <c r="C47" s="18">
        <v>5602.72</v>
      </c>
      <c r="D47" s="19">
        <v>1.27</v>
      </c>
      <c r="E47" s="19">
        <v>3.08</v>
      </c>
    </row>
    <row r="48" spans="1:5" ht="16.5" customHeight="1" x14ac:dyDescent="0.3">
      <c r="A48" s="17">
        <v>4</v>
      </c>
      <c r="B48" s="18">
        <v>6715254</v>
      </c>
      <c r="C48" s="18">
        <v>5582.09</v>
      </c>
      <c r="D48" s="19">
        <v>1.3</v>
      </c>
      <c r="E48" s="19">
        <v>3.07</v>
      </c>
    </row>
    <row r="49" spans="1:7" ht="16.5" customHeight="1" x14ac:dyDescent="0.3">
      <c r="A49" s="17">
        <v>5</v>
      </c>
      <c r="B49" s="18">
        <v>6677804</v>
      </c>
      <c r="C49" s="18">
        <v>5595.24</v>
      </c>
      <c r="D49" s="19">
        <v>1.28</v>
      </c>
      <c r="E49" s="19">
        <v>3.07</v>
      </c>
    </row>
    <row r="50" spans="1:7" ht="16.5" customHeight="1" x14ac:dyDescent="0.3">
      <c r="A50" s="17">
        <v>6</v>
      </c>
      <c r="B50" s="21">
        <v>6701571</v>
      </c>
      <c r="C50" s="21">
        <v>5612.09</v>
      </c>
      <c r="D50" s="22">
        <v>1.26</v>
      </c>
      <c r="E50" s="22">
        <v>3.08</v>
      </c>
    </row>
    <row r="51" spans="1:7" ht="16.5" customHeight="1" x14ac:dyDescent="0.3">
      <c r="A51" s="23" t="s">
        <v>18</v>
      </c>
      <c r="B51" s="24">
        <v>9600472.833333334</v>
      </c>
      <c r="C51" s="25">
        <v>7429.5</v>
      </c>
      <c r="D51" s="26">
        <v>1.3499999999999999</v>
      </c>
      <c r="E51" s="26">
        <v>4.8999999999999995</v>
      </c>
    </row>
    <row r="52" spans="1:7" ht="16.5" customHeight="1" x14ac:dyDescent="0.3">
      <c r="A52" s="27" t="s">
        <v>19</v>
      </c>
      <c r="B52" s="28">
        <f>(STDEV(B45:B50)/B51)</f>
        <v>2.8016423058894887E-3</v>
      </c>
      <c r="C52" s="29"/>
      <c r="D52" s="29"/>
      <c r="E52" s="30"/>
    </row>
    <row r="53" spans="1:7" s="304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304" customFormat="1" ht="15.75" customHeight="1" x14ac:dyDescent="0.25">
      <c r="A54" s="72"/>
      <c r="B54" s="72"/>
      <c r="C54" s="72"/>
      <c r="D54" s="72"/>
      <c r="E54" s="72"/>
    </row>
    <row r="55" spans="1:7" s="304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128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05"/>
      <c r="D58" s="43"/>
      <c r="F58" s="44"/>
      <c r="G58" s="44"/>
    </row>
    <row r="59" spans="1:7" ht="15" customHeight="1" x14ac:dyDescent="0.3">
      <c r="B59" s="369" t="s">
        <v>26</v>
      </c>
      <c r="C59" s="369"/>
      <c r="E59" s="365" t="s">
        <v>27</v>
      </c>
      <c r="F59" s="46"/>
      <c r="G59" s="365" t="s">
        <v>28</v>
      </c>
    </row>
    <row r="60" spans="1:7" ht="15" customHeight="1" x14ac:dyDescent="0.3">
      <c r="A60" s="47" t="s">
        <v>29</v>
      </c>
      <c r="B60" s="49"/>
      <c r="C60" s="49" t="s">
        <v>127</v>
      </c>
      <c r="E60" s="367">
        <v>42494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C53" sqref="C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73" t="s">
        <v>31</v>
      </c>
      <c r="B11" s="374"/>
      <c r="C11" s="374"/>
      <c r="D11" s="374"/>
      <c r="E11" s="374"/>
      <c r="F11" s="375"/>
      <c r="G11" s="91"/>
    </row>
    <row r="12" spans="1:7" ht="16.5" customHeight="1" x14ac:dyDescent="0.3">
      <c r="A12" s="372" t="s">
        <v>32</v>
      </c>
      <c r="B12" s="372"/>
      <c r="C12" s="372"/>
      <c r="D12" s="372"/>
      <c r="E12" s="372"/>
      <c r="F12" s="372"/>
      <c r="G12" s="90"/>
    </row>
    <row r="14" spans="1:7" ht="16.5" customHeight="1" x14ac:dyDescent="0.3">
      <c r="A14" s="377" t="s">
        <v>33</v>
      </c>
      <c r="B14" s="377"/>
      <c r="C14" s="60" t="s">
        <v>5</v>
      </c>
    </row>
    <row r="15" spans="1:7" ht="16.5" customHeight="1" x14ac:dyDescent="0.3">
      <c r="A15" s="377" t="s">
        <v>34</v>
      </c>
      <c r="B15" s="377"/>
      <c r="C15" s="60" t="s">
        <v>7</v>
      </c>
    </row>
    <row r="16" spans="1:7" ht="16.5" customHeight="1" x14ac:dyDescent="0.3">
      <c r="A16" s="377" t="s">
        <v>35</v>
      </c>
      <c r="B16" s="377"/>
      <c r="C16" s="60" t="s">
        <v>9</v>
      </c>
    </row>
    <row r="17" spans="1:5" ht="16.5" customHeight="1" x14ac:dyDescent="0.3">
      <c r="A17" s="377" t="s">
        <v>36</v>
      </c>
      <c r="B17" s="377"/>
      <c r="C17" s="60" t="s">
        <v>11</v>
      </c>
    </row>
    <row r="18" spans="1:5" ht="16.5" customHeight="1" x14ac:dyDescent="0.3">
      <c r="A18" s="377" t="s">
        <v>37</v>
      </c>
      <c r="B18" s="377"/>
      <c r="C18" s="97" t="s">
        <v>12</v>
      </c>
    </row>
    <row r="19" spans="1:5" ht="16.5" customHeight="1" x14ac:dyDescent="0.3">
      <c r="A19" s="377" t="s">
        <v>38</v>
      </c>
      <c r="B19" s="377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372" t="s">
        <v>1</v>
      </c>
      <c r="B21" s="372"/>
      <c r="C21" s="59" t="s">
        <v>39</v>
      </c>
      <c r="D21" s="66"/>
    </row>
    <row r="22" spans="1:5" ht="15.75" customHeight="1" x14ac:dyDescent="0.3">
      <c r="A22" s="376"/>
      <c r="B22" s="376"/>
      <c r="C22" s="57"/>
      <c r="D22" s="376"/>
      <c r="E22" s="376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154.29</v>
      </c>
      <c r="D24" s="87">
        <f t="shared" ref="D24:D43" si="0">(C24-$C$46)/$C$46</f>
        <v>-7.9217088257611621E-3</v>
      </c>
      <c r="E24" s="53"/>
    </row>
    <row r="25" spans="1:5" ht="15.75" customHeight="1" x14ac:dyDescent="0.3">
      <c r="C25" s="95">
        <v>154.94</v>
      </c>
      <c r="D25" s="88">
        <f t="shared" si="0"/>
        <v>-3.7422358251567108E-3</v>
      </c>
      <c r="E25" s="53"/>
    </row>
    <row r="26" spans="1:5" ht="15.75" customHeight="1" x14ac:dyDescent="0.3">
      <c r="C26" s="95">
        <v>155.68</v>
      </c>
      <c r="D26" s="88">
        <f t="shared" si="0"/>
        <v>1.0159334370699131E-3</v>
      </c>
      <c r="E26" s="53"/>
    </row>
    <row r="27" spans="1:5" ht="15.75" customHeight="1" x14ac:dyDescent="0.3">
      <c r="C27" s="95">
        <v>153.87</v>
      </c>
      <c r="D27" s="88">
        <f t="shared" si="0"/>
        <v>-1.0622291379997782E-2</v>
      </c>
      <c r="E27" s="53"/>
    </row>
    <row r="28" spans="1:5" ht="15.75" customHeight="1" x14ac:dyDescent="0.3">
      <c r="C28" s="95">
        <v>157.53</v>
      </c>
      <c r="D28" s="88">
        <f t="shared" si="0"/>
        <v>1.291135659263629E-2</v>
      </c>
      <c r="E28" s="53"/>
    </row>
    <row r="29" spans="1:5" ht="15.75" customHeight="1" x14ac:dyDescent="0.3">
      <c r="C29" s="95">
        <v>155.85</v>
      </c>
      <c r="D29" s="88">
        <f t="shared" si="0"/>
        <v>2.1090263756894491E-3</v>
      </c>
      <c r="E29" s="53"/>
    </row>
    <row r="30" spans="1:5" ht="15.75" customHeight="1" x14ac:dyDescent="0.3">
      <c r="C30" s="95">
        <v>156.51</v>
      </c>
      <c r="D30" s="88">
        <f t="shared" si="0"/>
        <v>6.352798960918526E-3</v>
      </c>
      <c r="E30" s="53"/>
    </row>
    <row r="31" spans="1:5" ht="15.75" customHeight="1" x14ac:dyDescent="0.3">
      <c r="C31" s="95">
        <v>154.03</v>
      </c>
      <c r="D31" s="88">
        <f t="shared" si="0"/>
        <v>-9.5934980260028706E-3</v>
      </c>
      <c r="E31" s="53"/>
    </row>
    <row r="32" spans="1:5" ht="15.75" customHeight="1" x14ac:dyDescent="0.3">
      <c r="C32" s="95">
        <v>155.13</v>
      </c>
      <c r="D32" s="88">
        <f t="shared" si="0"/>
        <v>-2.5205437172877423E-3</v>
      </c>
      <c r="E32" s="53"/>
    </row>
    <row r="33" spans="1:7" ht="15.75" customHeight="1" x14ac:dyDescent="0.3">
      <c r="C33" s="95">
        <v>155.44</v>
      </c>
      <c r="D33" s="88">
        <f t="shared" si="0"/>
        <v>-5.2725659392254497E-4</v>
      </c>
      <c r="E33" s="53"/>
    </row>
    <row r="34" spans="1:7" ht="15.75" customHeight="1" x14ac:dyDescent="0.3">
      <c r="C34" s="95">
        <v>155.19</v>
      </c>
      <c r="D34" s="88">
        <f t="shared" si="0"/>
        <v>-2.1347462095396277E-3</v>
      </c>
      <c r="E34" s="53"/>
    </row>
    <row r="35" spans="1:7" ht="15.75" customHeight="1" x14ac:dyDescent="0.3">
      <c r="C35" s="95">
        <v>153.47</v>
      </c>
      <c r="D35" s="88">
        <f t="shared" si="0"/>
        <v>-1.3194274764985151E-2</v>
      </c>
      <c r="E35" s="53"/>
    </row>
    <row r="36" spans="1:7" ht="15.75" customHeight="1" x14ac:dyDescent="0.3">
      <c r="C36" s="95">
        <v>155.74</v>
      </c>
      <c r="D36" s="88">
        <f t="shared" si="0"/>
        <v>1.4017309448180275E-3</v>
      </c>
      <c r="E36" s="53"/>
    </row>
    <row r="37" spans="1:7" ht="15.75" customHeight="1" x14ac:dyDescent="0.3">
      <c r="C37" s="95">
        <v>154.05000000000001</v>
      </c>
      <c r="D37" s="88">
        <f t="shared" si="0"/>
        <v>-9.4648988567534384E-3</v>
      </c>
      <c r="E37" s="53"/>
    </row>
    <row r="38" spans="1:7" ht="15.75" customHeight="1" x14ac:dyDescent="0.3">
      <c r="C38" s="95">
        <v>159.12</v>
      </c>
      <c r="D38" s="88">
        <f t="shared" si="0"/>
        <v>2.3134990547960959E-2</v>
      </c>
      <c r="E38" s="53"/>
    </row>
    <row r="39" spans="1:7" ht="15.75" customHeight="1" x14ac:dyDescent="0.3">
      <c r="C39" s="95">
        <v>155.91999999999999</v>
      </c>
      <c r="D39" s="88">
        <f t="shared" si="0"/>
        <v>2.5591234680621884E-3</v>
      </c>
      <c r="E39" s="53"/>
    </row>
    <row r="40" spans="1:7" ht="15.75" customHeight="1" x14ac:dyDescent="0.3">
      <c r="C40" s="95">
        <v>158.13</v>
      </c>
      <c r="D40" s="88">
        <f t="shared" si="0"/>
        <v>1.6769331670117252E-2</v>
      </c>
      <c r="E40" s="53"/>
    </row>
    <row r="41" spans="1:7" ht="15.75" customHeight="1" x14ac:dyDescent="0.3">
      <c r="C41" s="95">
        <v>154.53</v>
      </c>
      <c r="D41" s="88">
        <f t="shared" si="0"/>
        <v>-6.3785187947687045E-3</v>
      </c>
      <c r="E41" s="53"/>
    </row>
    <row r="42" spans="1:7" ht="15.75" customHeight="1" x14ac:dyDescent="0.3">
      <c r="C42" s="95">
        <v>155.55000000000001</v>
      </c>
      <c r="D42" s="88">
        <f t="shared" si="0"/>
        <v>1.800388369490592E-4</v>
      </c>
      <c r="E42" s="53"/>
    </row>
    <row r="43" spans="1:7" ht="16.5" customHeight="1" x14ac:dyDescent="0.3">
      <c r="C43" s="96">
        <v>155.47</v>
      </c>
      <c r="D43" s="89">
        <f t="shared" si="0"/>
        <v>-3.3435784004848777E-4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3110.4400000000005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155.52200000000002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370">
        <f>C46</f>
        <v>155.52200000000002</v>
      </c>
      <c r="C49" s="93">
        <f>-IF(C46&lt;=80,10%,IF(C46&lt;250,7.5%,5%))</f>
        <v>-7.4999999999999997E-2</v>
      </c>
      <c r="D49" s="81">
        <f>IF(C46&lt;=80,C46*0.9,IF(C46&lt;250,C46*0.925,C46*0.95))</f>
        <v>143.85785000000001</v>
      </c>
    </row>
    <row r="50" spans="1:6" ht="17.25" customHeight="1" x14ac:dyDescent="0.3">
      <c r="B50" s="371"/>
      <c r="C50" s="94">
        <f>IF(C46&lt;=80, 10%, IF(C46&lt;250, 7.5%, 5%))</f>
        <v>7.4999999999999997E-2</v>
      </c>
      <c r="D50" s="81">
        <f>IF(C46&lt;=80, C46*1.1, IF(C46&lt;250, C46*1.075, C46*1.05))</f>
        <v>167.18615000000003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3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2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1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9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8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7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6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5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4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3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2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1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9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8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7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view="pageBreakPreview" topLeftCell="A94" zoomScale="55" zoomScaleNormal="75" workbookViewId="0">
      <selection activeCell="B167" sqref="B167"/>
    </sheetView>
  </sheetViews>
  <sheetFormatPr defaultRowHeight="16.5" x14ac:dyDescent="0.3"/>
  <cols>
    <col min="1" max="1" width="55.42578125" style="19" customWidth="1"/>
    <col min="2" max="2" width="33.7109375" style="19" customWidth="1"/>
    <col min="3" max="3" width="42.28515625" style="19" customWidth="1"/>
    <col min="4" max="4" width="30.5703125" style="19" customWidth="1"/>
    <col min="5" max="5" width="39.85546875" style="19" customWidth="1"/>
    <col min="6" max="6" width="30.7109375" style="19" customWidth="1"/>
    <col min="7" max="7" width="36.42578125" style="19" customWidth="1"/>
    <col min="8" max="8" width="41.140625" style="19" customWidth="1"/>
    <col min="9" max="9" width="30.42578125" style="1" customWidth="1"/>
    <col min="10" max="10" width="21.28515625" style="1" customWidth="1"/>
    <col min="11" max="11" width="9.140625" style="1" customWidth="1"/>
  </cols>
  <sheetData>
    <row r="1" spans="1:8" ht="15" x14ac:dyDescent="0.3">
      <c r="A1" s="379" t="s">
        <v>45</v>
      </c>
      <c r="B1" s="379"/>
      <c r="C1" s="379"/>
      <c r="D1" s="379"/>
      <c r="E1" s="379"/>
      <c r="F1" s="379"/>
      <c r="G1" s="379"/>
      <c r="H1" s="379"/>
    </row>
    <row r="2" spans="1:8" ht="15" x14ac:dyDescent="0.3">
      <c r="A2" s="379"/>
      <c r="B2" s="379"/>
      <c r="C2" s="379"/>
      <c r="D2" s="379"/>
      <c r="E2" s="379"/>
      <c r="F2" s="379"/>
      <c r="G2" s="379"/>
      <c r="H2" s="379"/>
    </row>
    <row r="3" spans="1:8" ht="15" x14ac:dyDescent="0.3">
      <c r="A3" s="379"/>
      <c r="B3" s="379"/>
      <c r="C3" s="379"/>
      <c r="D3" s="379"/>
      <c r="E3" s="379"/>
      <c r="F3" s="379"/>
      <c r="G3" s="379"/>
      <c r="H3" s="379"/>
    </row>
    <row r="4" spans="1:8" ht="15" x14ac:dyDescent="0.3">
      <c r="A4" s="379"/>
      <c r="B4" s="379"/>
      <c r="C4" s="379"/>
      <c r="D4" s="379"/>
      <c r="E4" s="379"/>
      <c r="F4" s="379"/>
      <c r="G4" s="379"/>
      <c r="H4" s="379"/>
    </row>
    <row r="5" spans="1:8" ht="15" x14ac:dyDescent="0.3">
      <c r="A5" s="379"/>
      <c r="B5" s="379"/>
      <c r="C5" s="379"/>
      <c r="D5" s="379"/>
      <c r="E5" s="379"/>
      <c r="F5" s="379"/>
      <c r="G5" s="379"/>
      <c r="H5" s="379"/>
    </row>
    <row r="6" spans="1:8" ht="15" x14ac:dyDescent="0.3">
      <c r="A6" s="379"/>
      <c r="B6" s="379"/>
      <c r="C6" s="379"/>
      <c r="D6" s="379"/>
      <c r="E6" s="379"/>
      <c r="F6" s="379"/>
      <c r="G6" s="379"/>
      <c r="H6" s="379"/>
    </row>
    <row r="7" spans="1:8" ht="15" x14ac:dyDescent="0.3">
      <c r="A7" s="379"/>
      <c r="B7" s="379"/>
      <c r="C7" s="379"/>
      <c r="D7" s="379"/>
      <c r="E7" s="379"/>
      <c r="F7" s="379"/>
      <c r="G7" s="379"/>
      <c r="H7" s="379"/>
    </row>
    <row r="8" spans="1:8" ht="15" x14ac:dyDescent="0.3">
      <c r="A8" s="380" t="s">
        <v>46</v>
      </c>
      <c r="B8" s="380"/>
      <c r="C8" s="380"/>
      <c r="D8" s="380"/>
      <c r="E8" s="380"/>
      <c r="F8" s="380"/>
      <c r="G8" s="380"/>
      <c r="H8" s="380"/>
    </row>
    <row r="9" spans="1:8" ht="15" x14ac:dyDescent="0.3">
      <c r="A9" s="380"/>
      <c r="B9" s="380"/>
      <c r="C9" s="380"/>
      <c r="D9" s="380"/>
      <c r="E9" s="380"/>
      <c r="F9" s="380"/>
      <c r="G9" s="380"/>
      <c r="H9" s="380"/>
    </row>
    <row r="10" spans="1:8" ht="15" x14ac:dyDescent="0.3">
      <c r="A10" s="380"/>
      <c r="B10" s="380"/>
      <c r="C10" s="380"/>
      <c r="D10" s="380"/>
      <c r="E10" s="380"/>
      <c r="F10" s="380"/>
      <c r="G10" s="380"/>
      <c r="H10" s="380"/>
    </row>
    <row r="11" spans="1:8" ht="15" x14ac:dyDescent="0.3">
      <c r="A11" s="380"/>
      <c r="B11" s="380"/>
      <c r="C11" s="380"/>
      <c r="D11" s="380"/>
      <c r="E11" s="380"/>
      <c r="F11" s="380"/>
      <c r="G11" s="380"/>
      <c r="H11" s="380"/>
    </row>
    <row r="12" spans="1:8" ht="15" x14ac:dyDescent="0.3">
      <c r="A12" s="380"/>
      <c r="B12" s="380"/>
      <c r="C12" s="380"/>
      <c r="D12" s="380"/>
      <c r="E12" s="380"/>
      <c r="F12" s="380"/>
      <c r="G12" s="380"/>
      <c r="H12" s="380"/>
    </row>
    <row r="13" spans="1:8" ht="15" x14ac:dyDescent="0.3">
      <c r="A13" s="380"/>
      <c r="B13" s="380"/>
      <c r="C13" s="380"/>
      <c r="D13" s="380"/>
      <c r="E13" s="380"/>
      <c r="F13" s="380"/>
      <c r="G13" s="380"/>
      <c r="H13" s="380"/>
    </row>
    <row r="14" spans="1:8" ht="15" x14ac:dyDescent="0.3">
      <c r="A14" s="380"/>
      <c r="B14" s="380"/>
      <c r="C14" s="380"/>
      <c r="D14" s="380"/>
      <c r="E14" s="380"/>
      <c r="F14" s="380"/>
      <c r="G14" s="380"/>
      <c r="H14" s="380"/>
    </row>
    <row r="15" spans="1:8" ht="19.5" customHeight="1" x14ac:dyDescent="0.3"/>
    <row r="16" spans="1:8" ht="19.5" customHeight="1" x14ac:dyDescent="0.3">
      <c r="A16" s="385" t="s">
        <v>31</v>
      </c>
      <c r="B16" s="386"/>
      <c r="C16" s="386"/>
      <c r="D16" s="386"/>
      <c r="E16" s="386"/>
      <c r="F16" s="386"/>
      <c r="G16" s="386"/>
      <c r="H16" s="387"/>
    </row>
    <row r="17" spans="1:13" ht="20.25" customHeight="1" x14ac:dyDescent="0.3">
      <c r="A17" s="390" t="s">
        <v>47</v>
      </c>
      <c r="B17" s="390"/>
      <c r="C17" s="390"/>
      <c r="D17" s="390"/>
      <c r="E17" s="390"/>
      <c r="F17" s="390"/>
      <c r="G17" s="390"/>
      <c r="H17" s="390"/>
    </row>
    <row r="18" spans="1:13" ht="26.25" customHeight="1" x14ac:dyDescent="0.3">
      <c r="A18" s="124" t="s">
        <v>33</v>
      </c>
      <c r="B18" s="388" t="s">
        <v>5</v>
      </c>
      <c r="C18" s="388"/>
      <c r="D18" s="125"/>
      <c r="E18" s="125"/>
    </row>
    <row r="19" spans="1:13" ht="26.25" customHeight="1" x14ac:dyDescent="0.3">
      <c r="A19" s="124" t="s">
        <v>34</v>
      </c>
      <c r="B19" s="126" t="s">
        <v>7</v>
      </c>
      <c r="C19" s="123">
        <v>11</v>
      </c>
    </row>
    <row r="20" spans="1:13" ht="26.25" customHeight="1" x14ac:dyDescent="0.3">
      <c r="A20" s="124" t="s">
        <v>35</v>
      </c>
      <c r="B20" s="126" t="s">
        <v>9</v>
      </c>
    </row>
    <row r="21" spans="1:13" ht="26.25" customHeight="1" x14ac:dyDescent="0.4">
      <c r="A21" s="124" t="s">
        <v>36</v>
      </c>
      <c r="B21" s="378" t="s">
        <v>11</v>
      </c>
      <c r="C21" s="378"/>
      <c r="D21" s="378"/>
      <c r="E21" s="378"/>
      <c r="F21" s="378"/>
      <c r="G21" s="378"/>
      <c r="H21" s="378"/>
    </row>
    <row r="22" spans="1:13" ht="26.25" customHeight="1" x14ac:dyDescent="0.4">
      <c r="A22" s="124" t="s">
        <v>37</v>
      </c>
      <c r="B22" s="98">
        <v>42453</v>
      </c>
    </row>
    <row r="23" spans="1:13" ht="26.25" customHeight="1" x14ac:dyDescent="0.4">
      <c r="A23" s="124" t="s">
        <v>38</v>
      </c>
      <c r="B23" s="98">
        <v>42453</v>
      </c>
    </row>
    <row r="24" spans="1:13" ht="18.75" x14ac:dyDescent="0.3">
      <c r="A24" s="124"/>
      <c r="B24" s="127"/>
    </row>
    <row r="25" spans="1:13" ht="18.75" x14ac:dyDescent="0.3">
      <c r="A25" s="128" t="s">
        <v>1</v>
      </c>
      <c r="B25" s="127"/>
    </row>
    <row r="26" spans="1:13" ht="26.25" customHeight="1" x14ac:dyDescent="0.3">
      <c r="A26" s="129" t="s">
        <v>4</v>
      </c>
      <c r="B26" s="388" t="s">
        <v>9</v>
      </c>
      <c r="C26" s="388"/>
    </row>
    <row r="27" spans="1:13" ht="26.25" customHeight="1" x14ac:dyDescent="0.3">
      <c r="A27" s="130" t="s">
        <v>48</v>
      </c>
      <c r="B27" s="389" t="s">
        <v>126</v>
      </c>
      <c r="C27" s="389"/>
    </row>
    <row r="28" spans="1:13" ht="27" customHeight="1" x14ac:dyDescent="0.3">
      <c r="A28" s="130" t="s">
        <v>6</v>
      </c>
      <c r="B28" s="131">
        <v>99.86</v>
      </c>
    </row>
    <row r="29" spans="1:13" s="2" customFormat="1" ht="15.75" customHeight="1" x14ac:dyDescent="0.25">
      <c r="A29" s="130" t="s">
        <v>49</v>
      </c>
      <c r="B29" s="132">
        <v>0</v>
      </c>
      <c r="C29" s="393" t="s">
        <v>115</v>
      </c>
      <c r="D29" s="394"/>
      <c r="E29" s="394"/>
      <c r="F29" s="394"/>
      <c r="G29" s="395"/>
      <c r="H29" s="133"/>
      <c r="I29" s="106"/>
      <c r="J29" s="106"/>
      <c r="K29" s="106"/>
    </row>
    <row r="30" spans="1:13" s="2" customFormat="1" ht="19.5" customHeight="1" x14ac:dyDescent="0.25">
      <c r="A30" s="130" t="s">
        <v>51</v>
      </c>
      <c r="B30" s="134">
        <f>B28-B29</f>
        <v>99.86</v>
      </c>
      <c r="C30" s="135"/>
      <c r="D30" s="135"/>
      <c r="E30" s="135"/>
      <c r="F30" s="135"/>
      <c r="G30" s="136"/>
      <c r="H30" s="133"/>
      <c r="I30" s="106"/>
      <c r="J30" s="106"/>
      <c r="K30" s="106"/>
    </row>
    <row r="31" spans="1:13" s="2" customFormat="1" ht="27" customHeight="1" x14ac:dyDescent="0.25">
      <c r="A31" s="130" t="s">
        <v>52</v>
      </c>
      <c r="B31" s="137">
        <v>1</v>
      </c>
      <c r="C31" s="397" t="s">
        <v>53</v>
      </c>
      <c r="D31" s="398"/>
      <c r="E31" s="398"/>
      <c r="F31" s="398"/>
      <c r="G31" s="398"/>
      <c r="H31" s="399"/>
      <c r="I31" s="106"/>
      <c r="J31" s="106"/>
      <c r="K31" s="106"/>
    </row>
    <row r="32" spans="1:13" s="2" customFormat="1" ht="27" customHeight="1" x14ac:dyDescent="0.25">
      <c r="A32" s="130" t="s">
        <v>54</v>
      </c>
      <c r="B32" s="137">
        <v>1</v>
      </c>
      <c r="C32" s="397" t="s">
        <v>55</v>
      </c>
      <c r="D32" s="398"/>
      <c r="E32" s="398"/>
      <c r="F32" s="398"/>
      <c r="G32" s="398"/>
      <c r="H32" s="399"/>
      <c r="I32" s="106"/>
      <c r="J32" s="106"/>
      <c r="K32" s="107"/>
      <c r="L32" s="107"/>
      <c r="M32" s="108"/>
    </row>
    <row r="33" spans="1:13" s="2" customFormat="1" ht="17.25" customHeight="1" x14ac:dyDescent="0.25">
      <c r="A33" s="130"/>
      <c r="B33" s="138"/>
      <c r="C33" s="109"/>
      <c r="D33" s="109"/>
      <c r="E33" s="109"/>
      <c r="F33" s="109"/>
      <c r="G33" s="109"/>
      <c r="H33" s="109"/>
      <c r="I33" s="106"/>
      <c r="J33" s="106"/>
      <c r="K33" s="107"/>
      <c r="L33" s="107"/>
      <c r="M33" s="108"/>
    </row>
    <row r="34" spans="1:13" s="2" customFormat="1" ht="18.75" x14ac:dyDescent="0.25">
      <c r="A34" s="130" t="s">
        <v>56</v>
      </c>
      <c r="B34" s="139">
        <f>B31/B32</f>
        <v>1</v>
      </c>
      <c r="C34" s="123" t="s">
        <v>57</v>
      </c>
      <c r="D34" s="123"/>
      <c r="E34" s="123"/>
      <c r="F34" s="123"/>
      <c r="G34" s="123"/>
      <c r="H34" s="133"/>
      <c r="I34" s="106"/>
      <c r="J34" s="106"/>
      <c r="K34" s="107"/>
      <c r="L34" s="107"/>
      <c r="M34" s="108"/>
    </row>
    <row r="35" spans="1:13" s="2" customFormat="1" ht="19.5" customHeight="1" x14ac:dyDescent="0.25">
      <c r="A35" s="130"/>
      <c r="B35" s="134"/>
      <c r="C35" s="133"/>
      <c r="D35" s="133"/>
      <c r="E35" s="133"/>
      <c r="F35" s="133"/>
      <c r="G35" s="123"/>
      <c r="H35" s="133"/>
      <c r="I35" s="106"/>
      <c r="J35" s="106"/>
      <c r="K35" s="107"/>
      <c r="L35" s="107"/>
      <c r="M35" s="108"/>
    </row>
    <row r="36" spans="1:13" s="2" customFormat="1" ht="27" customHeight="1" x14ac:dyDescent="0.25">
      <c r="A36" s="140" t="s">
        <v>116</v>
      </c>
      <c r="B36" s="141">
        <v>20</v>
      </c>
      <c r="C36" s="123"/>
      <c r="D36" s="391" t="s">
        <v>58</v>
      </c>
      <c r="E36" s="406"/>
      <c r="F36" s="391" t="s">
        <v>59</v>
      </c>
      <c r="G36" s="392"/>
      <c r="H36" s="133"/>
      <c r="I36" s="106"/>
      <c r="J36" s="106"/>
      <c r="K36" s="107"/>
      <c r="L36" s="107"/>
      <c r="M36" s="108"/>
    </row>
    <row r="37" spans="1:13" s="2" customFormat="1" ht="26.25" customHeight="1" x14ac:dyDescent="0.25">
      <c r="A37" s="142" t="s">
        <v>60</v>
      </c>
      <c r="B37" s="143">
        <v>5</v>
      </c>
      <c r="C37" s="120" t="s">
        <v>61</v>
      </c>
      <c r="D37" s="144" t="s">
        <v>62</v>
      </c>
      <c r="E37" s="145" t="s">
        <v>63</v>
      </c>
      <c r="F37" s="144" t="s">
        <v>62</v>
      </c>
      <c r="G37" s="146" t="s">
        <v>63</v>
      </c>
      <c r="H37" s="133"/>
      <c r="I37" s="106"/>
      <c r="J37" s="106"/>
      <c r="K37" s="107"/>
      <c r="L37" s="107"/>
      <c r="M37" s="108"/>
    </row>
    <row r="38" spans="1:13" s="2" customFormat="1" ht="26.25" customHeight="1" x14ac:dyDescent="0.4">
      <c r="A38" s="142" t="s">
        <v>64</v>
      </c>
      <c r="B38" s="143">
        <v>25</v>
      </c>
      <c r="C38" s="147">
        <v>1</v>
      </c>
      <c r="D38" s="99">
        <v>20279645</v>
      </c>
      <c r="E38" s="122">
        <f>IF(ISBLANK(D38),"-",$D$48/$D$45*D38)</f>
        <v>20011900.184104808</v>
      </c>
      <c r="F38" s="99">
        <v>19420553</v>
      </c>
      <c r="G38" s="148">
        <f>IF(ISBLANK(F38),"-",$D$48/$F$45*F38)</f>
        <v>19731919.533125598</v>
      </c>
      <c r="H38" s="133"/>
      <c r="I38" s="106"/>
      <c r="J38" s="106"/>
      <c r="K38" s="107"/>
      <c r="L38" s="107"/>
      <c r="M38" s="108"/>
    </row>
    <row r="39" spans="1:13" s="2" customFormat="1" ht="26.25" customHeight="1" x14ac:dyDescent="0.4">
      <c r="A39" s="142" t="s">
        <v>65</v>
      </c>
      <c r="B39" s="143">
        <v>1</v>
      </c>
      <c r="C39" s="149">
        <v>2</v>
      </c>
      <c r="D39" s="100">
        <v>20148750</v>
      </c>
      <c r="E39" s="150">
        <f>IF(ISBLANK(D39),"-",$D$48/$D$45*D39)</f>
        <v>19882733.343432873</v>
      </c>
      <c r="F39" s="100">
        <v>19408798</v>
      </c>
      <c r="G39" s="151">
        <f>IF(ISBLANK(F39),"-",$D$48/$F$45*F39)</f>
        <v>19719976.067143355</v>
      </c>
      <c r="H39" s="133"/>
      <c r="I39" s="106"/>
      <c r="J39" s="106"/>
      <c r="K39" s="107"/>
      <c r="L39" s="107"/>
      <c r="M39" s="108"/>
    </row>
    <row r="40" spans="1:13" ht="26.25" customHeight="1" x14ac:dyDescent="0.4">
      <c r="A40" s="142" t="s">
        <v>66</v>
      </c>
      <c r="B40" s="143">
        <v>1</v>
      </c>
      <c r="C40" s="149">
        <v>3</v>
      </c>
      <c r="D40" s="100">
        <v>20186840</v>
      </c>
      <c r="E40" s="150">
        <f>IF(ISBLANK(D40),"-",$D$48/$D$45*D40)</f>
        <v>19920320.454943582</v>
      </c>
      <c r="F40" s="100">
        <v>19299718</v>
      </c>
      <c r="G40" s="151">
        <f>IF(ISBLANK(F40),"-",$D$48/$F$45*F40)</f>
        <v>19609147.205438264</v>
      </c>
      <c r="K40" s="107"/>
      <c r="L40" s="107"/>
      <c r="M40" s="110"/>
    </row>
    <row r="41" spans="1:13" ht="26.25" customHeight="1" x14ac:dyDescent="0.4">
      <c r="A41" s="142" t="s">
        <v>67</v>
      </c>
      <c r="B41" s="143">
        <v>1</v>
      </c>
      <c r="C41" s="152">
        <v>4</v>
      </c>
      <c r="D41" s="101"/>
      <c r="E41" s="154" t="str">
        <f>IF(ISBLANK(D41),"-",$D$48/$D$45*D41)</f>
        <v>-</v>
      </c>
      <c r="F41" s="153"/>
      <c r="G41" s="155" t="str">
        <f>IF(ISBLANK(F41),"-",$D$48/$F$45*F41)</f>
        <v>-</v>
      </c>
      <c r="K41" s="107"/>
      <c r="L41" s="107"/>
      <c r="M41" s="110"/>
    </row>
    <row r="42" spans="1:13" ht="27" customHeight="1" x14ac:dyDescent="0.3">
      <c r="A42" s="142" t="s">
        <v>68</v>
      </c>
      <c r="B42" s="143">
        <v>1</v>
      </c>
      <c r="C42" s="156" t="s">
        <v>69</v>
      </c>
      <c r="D42" s="157">
        <f>AVERAGE(D38:D41)</f>
        <v>20205078.333333332</v>
      </c>
      <c r="E42" s="158">
        <f>AVERAGE(E38:E41)</f>
        <v>19938317.994160421</v>
      </c>
      <c r="F42" s="159">
        <f>AVERAGE(F38:F41)</f>
        <v>19376356.333333332</v>
      </c>
      <c r="G42" s="160">
        <f>AVERAGE(G38:G41)</f>
        <v>19687014.268569071</v>
      </c>
      <c r="H42" s="161"/>
    </row>
    <row r="43" spans="1:13" ht="26.25" customHeight="1" x14ac:dyDescent="0.3">
      <c r="A43" s="142" t="s">
        <v>70</v>
      </c>
      <c r="B43" s="143">
        <v>1</v>
      </c>
      <c r="C43" s="273" t="s">
        <v>71</v>
      </c>
      <c r="D43" s="162">
        <v>25.37</v>
      </c>
      <c r="E43" s="163"/>
      <c r="F43" s="164">
        <v>24.64</v>
      </c>
      <c r="H43" s="161"/>
    </row>
    <row r="44" spans="1:13" ht="26.25" customHeight="1" x14ac:dyDescent="0.3">
      <c r="A44" s="142" t="s">
        <v>72</v>
      </c>
      <c r="B44" s="143">
        <v>1</v>
      </c>
      <c r="C44" s="274" t="s">
        <v>73</v>
      </c>
      <c r="D44" s="166">
        <f>D43*$B$34</f>
        <v>25.37</v>
      </c>
      <c r="E44" s="167"/>
      <c r="F44" s="168">
        <f>F43*$B$34</f>
        <v>24.64</v>
      </c>
      <c r="H44" s="161"/>
    </row>
    <row r="45" spans="1:13" ht="19.5" customHeight="1" x14ac:dyDescent="0.3">
      <c r="A45" s="142" t="s">
        <v>74</v>
      </c>
      <c r="B45" s="255">
        <f>(B44/B43)*(B42/B41)*(B40/B39)*(B38/B37)*B36</f>
        <v>100</v>
      </c>
      <c r="C45" s="274" t="s">
        <v>75</v>
      </c>
      <c r="D45" s="169">
        <f>D44*$B$30/100</f>
        <v>25.334482000000001</v>
      </c>
      <c r="E45" s="170"/>
      <c r="F45" s="171">
        <f>F44*$B$30/100</f>
        <v>24.605504</v>
      </c>
      <c r="H45" s="161"/>
    </row>
    <row r="46" spans="1:13" ht="19.5" customHeight="1" x14ac:dyDescent="0.3">
      <c r="A46" s="381" t="s">
        <v>76</v>
      </c>
      <c r="B46" s="382"/>
      <c r="C46" s="274" t="s">
        <v>77</v>
      </c>
      <c r="D46" s="166">
        <f>D45/$B$45</f>
        <v>0.25334482000000003</v>
      </c>
      <c r="E46" s="170"/>
      <c r="F46" s="172">
        <f>F45/$B$45</f>
        <v>0.24605504</v>
      </c>
      <c r="H46" s="161"/>
    </row>
    <row r="47" spans="1:13" ht="27" customHeight="1" x14ac:dyDescent="0.3">
      <c r="A47" s="383"/>
      <c r="B47" s="384"/>
      <c r="C47" s="275" t="s">
        <v>117</v>
      </c>
      <c r="D47" s="173">
        <v>0.25</v>
      </c>
      <c r="F47" s="174"/>
      <c r="H47" s="161"/>
    </row>
    <row r="48" spans="1:13" ht="18.75" x14ac:dyDescent="0.3">
      <c r="C48" s="165" t="s">
        <v>78</v>
      </c>
      <c r="D48" s="169">
        <f>D47*$B$45</f>
        <v>25</v>
      </c>
      <c r="F48" s="174"/>
      <c r="H48" s="161"/>
    </row>
    <row r="49" spans="1:11" ht="19.5" customHeight="1" x14ac:dyDescent="0.3">
      <c r="C49" s="175" t="s">
        <v>79</v>
      </c>
      <c r="D49" s="176">
        <f>D48/B34</f>
        <v>25</v>
      </c>
      <c r="F49" s="177"/>
      <c r="H49" s="161"/>
    </row>
    <row r="50" spans="1:11" ht="18.75" x14ac:dyDescent="0.3">
      <c r="C50" s="178" t="s">
        <v>80</v>
      </c>
      <c r="D50" s="179">
        <f>AVERAGE(E38:E41,G38:G41)</f>
        <v>19812666.131364748</v>
      </c>
      <c r="F50" s="177"/>
      <c r="H50" s="161"/>
    </row>
    <row r="51" spans="1:11" ht="18.75" x14ac:dyDescent="0.3">
      <c r="C51" s="180" t="s">
        <v>81</v>
      </c>
      <c r="D51" s="181">
        <f>STDEV(E38:E41,G38:G41)/D50</f>
        <v>7.5784644137668663E-3</v>
      </c>
      <c r="F51" s="177"/>
    </row>
    <row r="52" spans="1:11" ht="19.5" customHeight="1" x14ac:dyDescent="0.3">
      <c r="C52" s="182" t="s">
        <v>20</v>
      </c>
      <c r="D52" s="183">
        <f>COUNT(E38:E41,G38:G41)</f>
        <v>6</v>
      </c>
      <c r="F52" s="177"/>
    </row>
    <row r="54" spans="1:11" ht="18.75" x14ac:dyDescent="0.3">
      <c r="A54" s="184" t="s">
        <v>1</v>
      </c>
      <c r="B54" s="185" t="s">
        <v>82</v>
      </c>
    </row>
    <row r="55" spans="1:11" ht="18.75" x14ac:dyDescent="0.3">
      <c r="A55" s="123" t="s">
        <v>83</v>
      </c>
      <c r="B55" s="186" t="str">
        <f>B21</f>
        <v>Each film coated tablet contains: Eplerenone 25mg</v>
      </c>
    </row>
    <row r="56" spans="1:11" ht="26.25" customHeight="1" x14ac:dyDescent="0.3">
      <c r="A56" s="187" t="s">
        <v>84</v>
      </c>
      <c r="B56" s="188">
        <v>25</v>
      </c>
      <c r="C56" s="123" t="str">
        <f>B20</f>
        <v>Eplerenone</v>
      </c>
      <c r="H56" s="189"/>
    </row>
    <row r="57" spans="1:11" ht="18.75" x14ac:dyDescent="0.3">
      <c r="A57" s="186" t="s">
        <v>85</v>
      </c>
      <c r="B57" s="364">
        <f>Uniformity!C46</f>
        <v>155.52200000000002</v>
      </c>
      <c r="H57" s="189"/>
    </row>
    <row r="58" spans="1:11" ht="19.5" customHeight="1" x14ac:dyDescent="0.3">
      <c r="H58" s="189"/>
    </row>
    <row r="59" spans="1:11" s="2" customFormat="1" ht="27" customHeight="1" x14ac:dyDescent="0.25">
      <c r="A59" s="140" t="s">
        <v>118</v>
      </c>
      <c r="B59" s="141">
        <v>100</v>
      </c>
      <c r="C59" s="123"/>
      <c r="D59" s="190" t="s">
        <v>86</v>
      </c>
      <c r="E59" s="191" t="s">
        <v>61</v>
      </c>
      <c r="F59" s="191" t="s">
        <v>62</v>
      </c>
      <c r="G59" s="191" t="s">
        <v>87</v>
      </c>
      <c r="H59" s="192" t="s">
        <v>88</v>
      </c>
      <c r="K59" s="106"/>
    </row>
    <row r="60" spans="1:11" s="2" customFormat="1" ht="26.25" customHeight="1" x14ac:dyDescent="0.4">
      <c r="A60" s="142" t="s">
        <v>112</v>
      </c>
      <c r="B60" s="143">
        <v>1</v>
      </c>
      <c r="C60" s="400" t="s">
        <v>89</v>
      </c>
      <c r="D60" s="403">
        <v>157.72</v>
      </c>
      <c r="E60" s="193">
        <v>1</v>
      </c>
      <c r="F60" s="102">
        <v>18686952</v>
      </c>
      <c r="G60" s="194">
        <f>IF(ISBLANK(F60),"-",(F60/$D$50*$D$47*$B$68)*($B$57/$D$60))</f>
        <v>23.250945691167775</v>
      </c>
      <c r="H60" s="114">
        <f t="shared" ref="H60:H71" si="0">IF(ISBLANK(F60),"-",G60/$B$56)</f>
        <v>0.93003782764671106</v>
      </c>
      <c r="K60" s="106"/>
    </row>
    <row r="61" spans="1:11" s="2" customFormat="1" ht="26.25" customHeight="1" x14ac:dyDescent="0.4">
      <c r="A61" s="142" t="s">
        <v>90</v>
      </c>
      <c r="B61" s="143">
        <v>1</v>
      </c>
      <c r="C61" s="396"/>
      <c r="D61" s="404"/>
      <c r="E61" s="195">
        <v>2</v>
      </c>
      <c r="F61" s="100">
        <v>18564575</v>
      </c>
      <c r="G61" s="197">
        <f>IF(ISBLANK(F61),"-",(F61/$D$50*$D$47*$B$68)*($B$57/$D$60))</f>
        <v>23.098680036455971</v>
      </c>
      <c r="H61" s="115">
        <f t="shared" si="0"/>
        <v>0.92394720145823883</v>
      </c>
      <c r="K61" s="106"/>
    </row>
    <row r="62" spans="1:11" s="2" customFormat="1" ht="26.25" customHeight="1" x14ac:dyDescent="0.4">
      <c r="A62" s="142" t="s">
        <v>91</v>
      </c>
      <c r="B62" s="143">
        <v>1</v>
      </c>
      <c r="C62" s="396"/>
      <c r="D62" s="404"/>
      <c r="E62" s="195">
        <v>3</v>
      </c>
      <c r="F62" s="103">
        <v>18670232</v>
      </c>
      <c r="G62" s="197">
        <f>IF(ISBLANK(F62),"-",(F62/$D$50*$D$47*$B$68)*($B$57/$D$60))</f>
        <v>23.230142094521497</v>
      </c>
      <c r="H62" s="115">
        <f t="shared" si="0"/>
        <v>0.92920568378085988</v>
      </c>
      <c r="K62" s="106"/>
    </row>
    <row r="63" spans="1:11" ht="27" customHeight="1" x14ac:dyDescent="0.4">
      <c r="A63" s="142" t="s">
        <v>92</v>
      </c>
      <c r="B63" s="143">
        <v>1</v>
      </c>
      <c r="C63" s="401"/>
      <c r="D63" s="405"/>
      <c r="E63" s="198">
        <v>4</v>
      </c>
      <c r="F63" s="104"/>
      <c r="G63" s="197" t="str">
        <f>IF(ISBLANK(F63),"-",(F63/$D$50*$D$47*$B$68)*($B$57/$D$60))</f>
        <v>-</v>
      </c>
      <c r="H63" s="115" t="str">
        <f t="shared" si="0"/>
        <v>-</v>
      </c>
    </row>
    <row r="64" spans="1:11" ht="26.25" customHeight="1" x14ac:dyDescent="0.4">
      <c r="A64" s="142" t="s">
        <v>93</v>
      </c>
      <c r="B64" s="143">
        <v>1</v>
      </c>
      <c r="C64" s="400" t="s">
        <v>94</v>
      </c>
      <c r="D64" s="403">
        <v>155.88</v>
      </c>
      <c r="E64" s="193">
        <v>1</v>
      </c>
      <c r="F64" s="102">
        <v>18101394</v>
      </c>
      <c r="G64" s="200">
        <f>IF(ISBLANK(F64),"-",(F64/$D$50*$D$47*$B$68)*($B$57/$D$64))</f>
        <v>22.78822739325236</v>
      </c>
      <c r="H64" s="117">
        <f t="shared" si="0"/>
        <v>0.91152909573009433</v>
      </c>
    </row>
    <row r="65" spans="1:8" ht="26.25" customHeight="1" x14ac:dyDescent="0.4">
      <c r="A65" s="142" t="s">
        <v>95</v>
      </c>
      <c r="B65" s="143">
        <v>1</v>
      </c>
      <c r="C65" s="396"/>
      <c r="D65" s="404"/>
      <c r="E65" s="195">
        <v>2</v>
      </c>
      <c r="F65" s="100">
        <v>18062314</v>
      </c>
      <c r="G65" s="201">
        <f>IF(ISBLANK(F65),"-",(F65/$D$50*$D$47*$B$68)*($B$57/$D$64))</f>
        <v>22.739028755482899</v>
      </c>
      <c r="H65" s="118">
        <f t="shared" si="0"/>
        <v>0.90956115021931594</v>
      </c>
    </row>
    <row r="66" spans="1:8" ht="26.25" customHeight="1" x14ac:dyDescent="0.4">
      <c r="A66" s="142" t="s">
        <v>96</v>
      </c>
      <c r="B66" s="143">
        <v>1</v>
      </c>
      <c r="C66" s="396"/>
      <c r="D66" s="404"/>
      <c r="E66" s="195">
        <v>3</v>
      </c>
      <c r="F66" s="100">
        <v>18106451</v>
      </c>
      <c r="G66" s="201">
        <f>IF(ISBLANK(F66),"-",(F66/$D$50*$D$47*$B$68)*($B$57/$D$64))</f>
        <v>22.794593757407945</v>
      </c>
      <c r="H66" s="118">
        <f t="shared" si="0"/>
        <v>0.91178375029631775</v>
      </c>
    </row>
    <row r="67" spans="1:8" ht="27" customHeight="1" x14ac:dyDescent="0.4">
      <c r="A67" s="142" t="s">
        <v>97</v>
      </c>
      <c r="B67" s="143">
        <v>1</v>
      </c>
      <c r="C67" s="401"/>
      <c r="D67" s="405"/>
      <c r="E67" s="198">
        <v>4</v>
      </c>
      <c r="F67" s="104"/>
      <c r="G67" s="202" t="str">
        <f>IF(ISBLANK(F67),"-",(F67/$D$50*$D$47*$B$68)*($B$57/$D$64))</f>
        <v>-</v>
      </c>
      <c r="H67" s="119" t="str">
        <f t="shared" si="0"/>
        <v>-</v>
      </c>
    </row>
    <row r="68" spans="1:8" ht="21.75" customHeight="1" x14ac:dyDescent="0.4">
      <c r="A68" s="142" t="s">
        <v>98</v>
      </c>
      <c r="B68" s="203">
        <f>(B67/B66)*(B65/B64)*(B63/B62)*(B61/B60)*B59</f>
        <v>100</v>
      </c>
      <c r="C68" s="400" t="s">
        <v>99</v>
      </c>
      <c r="D68" s="403">
        <v>156.05000000000001</v>
      </c>
      <c r="E68" s="193">
        <v>1</v>
      </c>
      <c r="F68" s="102">
        <v>18312508</v>
      </c>
      <c r="G68" s="200">
        <f>IF(ISBLANK(F68),"-",(F68/$D$50*$D$47*$B$68)*($B$57/$D$68))</f>
        <v>23.028888366108372</v>
      </c>
      <c r="H68" s="115">
        <f t="shared" si="0"/>
        <v>0.92115553464433486</v>
      </c>
    </row>
    <row r="69" spans="1:8" ht="21.75" customHeight="1" x14ac:dyDescent="0.4">
      <c r="A69" s="204" t="s">
        <v>119</v>
      </c>
      <c r="B69" s="205">
        <f>D47*B68/B56*B57</f>
        <v>155.52200000000002</v>
      </c>
      <c r="C69" s="396"/>
      <c r="D69" s="404"/>
      <c r="E69" s="195">
        <v>2</v>
      </c>
      <c r="F69" s="100">
        <v>18248883</v>
      </c>
      <c r="G69" s="201">
        <f>IF(ISBLANK(F69),"-",(F69/$D$50*$D$47*$B$68)*($B$57/$D$68))</f>
        <v>22.948876768445526</v>
      </c>
      <c r="H69" s="115">
        <f t="shared" si="0"/>
        <v>0.91795507073782101</v>
      </c>
    </row>
    <row r="70" spans="1:8" ht="22.5" customHeight="1" x14ac:dyDescent="0.4">
      <c r="A70" s="381" t="s">
        <v>76</v>
      </c>
      <c r="B70" s="382"/>
      <c r="C70" s="396"/>
      <c r="D70" s="404"/>
      <c r="E70" s="195">
        <v>3</v>
      </c>
      <c r="F70" s="100">
        <v>18267412</v>
      </c>
      <c r="G70" s="201">
        <f>IF(ISBLANK(F70),"-",(F70/$D$50*$D$47*$B$68)*($B$57/$D$68))</f>
        <v>22.972177906254483</v>
      </c>
      <c r="H70" s="115">
        <f t="shared" si="0"/>
        <v>0.91888711625017938</v>
      </c>
    </row>
    <row r="71" spans="1:8" ht="21.75" customHeight="1" x14ac:dyDescent="0.3">
      <c r="A71" s="383"/>
      <c r="B71" s="384"/>
      <c r="C71" s="402"/>
      <c r="D71" s="405"/>
      <c r="E71" s="198">
        <v>4</v>
      </c>
      <c r="F71" s="199"/>
      <c r="G71" s="202" t="str">
        <f>IF(ISBLANK(F71),"-",(F71/$D$50*$D$47*$B$68)*($B$57/$D$68))</f>
        <v>-</v>
      </c>
      <c r="H71" s="116" t="str">
        <f t="shared" si="0"/>
        <v>-</v>
      </c>
    </row>
    <row r="72" spans="1:8" ht="26.25" customHeight="1" x14ac:dyDescent="0.3">
      <c r="A72" s="206"/>
      <c r="B72" s="206"/>
      <c r="C72" s="206"/>
      <c r="D72" s="206"/>
      <c r="E72" s="206"/>
      <c r="F72" s="149"/>
      <c r="G72" s="207" t="s">
        <v>69</v>
      </c>
      <c r="H72" s="361">
        <f>AVERAGE(H60:H71)</f>
        <v>0.91934027008487484</v>
      </c>
    </row>
    <row r="73" spans="1:8" ht="26.25" customHeight="1" x14ac:dyDescent="0.3">
      <c r="C73" s="206"/>
      <c r="D73" s="206"/>
      <c r="E73" s="206"/>
      <c r="F73" s="149"/>
      <c r="G73" s="180" t="s">
        <v>81</v>
      </c>
      <c r="H73" s="362">
        <f>STDEV(H60:H71)/H72</f>
        <v>8.1775244393282633E-3</v>
      </c>
    </row>
    <row r="74" spans="1:8" ht="27" customHeight="1" x14ac:dyDescent="0.3">
      <c r="A74" s="206"/>
      <c r="B74" s="206"/>
      <c r="C74" s="149"/>
      <c r="D74" s="149"/>
      <c r="E74" s="208"/>
      <c r="F74" s="149"/>
      <c r="G74" s="182" t="s">
        <v>20</v>
      </c>
      <c r="H74" s="363">
        <f>COUNT(H60:H71)</f>
        <v>9</v>
      </c>
    </row>
    <row r="75" spans="1:8" ht="18.75" x14ac:dyDescent="0.3">
      <c r="A75" s="206"/>
      <c r="B75" s="206"/>
      <c r="C75" s="149"/>
      <c r="D75" s="149"/>
      <c r="E75" s="208"/>
      <c r="F75" s="149"/>
      <c r="G75" s="156"/>
      <c r="H75" s="209"/>
    </row>
    <row r="76" spans="1:8" ht="26.25" customHeight="1" x14ac:dyDescent="0.3">
      <c r="A76" s="129" t="s">
        <v>120</v>
      </c>
      <c r="B76" s="210" t="s">
        <v>100</v>
      </c>
      <c r="C76" s="396" t="str">
        <f>B20</f>
        <v>Eplerenone</v>
      </c>
      <c r="D76" s="396"/>
      <c r="E76" s="211" t="s">
        <v>101</v>
      </c>
      <c r="F76" s="211"/>
      <c r="G76" s="352">
        <f>H72</f>
        <v>0.91934027008487484</v>
      </c>
      <c r="H76" s="209"/>
    </row>
    <row r="77" spans="1:8" ht="18.75" x14ac:dyDescent="0.3">
      <c r="A77" s="128" t="s">
        <v>102</v>
      </c>
      <c r="B77" s="128" t="s">
        <v>103</v>
      </c>
    </row>
    <row r="78" spans="1:8" ht="18.75" x14ac:dyDescent="0.3">
      <c r="A78" s="128"/>
      <c r="B78" s="128"/>
    </row>
    <row r="79" spans="1:8" ht="26.25" customHeight="1" x14ac:dyDescent="0.3">
      <c r="A79" s="129" t="s">
        <v>4</v>
      </c>
      <c r="B79" s="388" t="s">
        <v>9</v>
      </c>
      <c r="C79" s="388"/>
    </row>
    <row r="80" spans="1:8" ht="26.25" customHeight="1" x14ac:dyDescent="0.3">
      <c r="A80" s="130" t="s">
        <v>48</v>
      </c>
      <c r="B80" s="389" t="s">
        <v>126</v>
      </c>
      <c r="C80" s="389"/>
    </row>
    <row r="81" spans="1:11" ht="27" customHeight="1" x14ac:dyDescent="0.3">
      <c r="A81" s="130" t="s">
        <v>6</v>
      </c>
      <c r="B81" s="131">
        <v>99.86</v>
      </c>
    </row>
    <row r="82" spans="1:11" s="2" customFormat="1" ht="27" customHeight="1" x14ac:dyDescent="0.25">
      <c r="A82" s="130" t="s">
        <v>49</v>
      </c>
      <c r="B82" s="131">
        <f>B29</f>
        <v>0</v>
      </c>
      <c r="C82" s="393" t="s">
        <v>115</v>
      </c>
      <c r="D82" s="394"/>
      <c r="E82" s="394"/>
      <c r="F82" s="394"/>
      <c r="G82" s="395"/>
      <c r="H82" s="133"/>
      <c r="I82" s="106"/>
      <c r="J82" s="106"/>
      <c r="K82" s="106"/>
    </row>
    <row r="83" spans="1:11" s="2" customFormat="1" ht="19.5" customHeight="1" x14ac:dyDescent="0.25">
      <c r="A83" s="130" t="s">
        <v>51</v>
      </c>
      <c r="B83" s="134">
        <f>B81-B82</f>
        <v>99.86</v>
      </c>
      <c r="C83" s="135"/>
      <c r="D83" s="135"/>
      <c r="E83" s="135"/>
      <c r="F83" s="135"/>
      <c r="G83" s="136"/>
      <c r="H83" s="133"/>
      <c r="I83" s="106"/>
      <c r="J83" s="106"/>
      <c r="K83" s="106"/>
    </row>
    <row r="84" spans="1:11" s="2" customFormat="1" ht="27" customHeight="1" x14ac:dyDescent="0.25">
      <c r="A84" s="130" t="s">
        <v>52</v>
      </c>
      <c r="B84" s="137">
        <v>1</v>
      </c>
      <c r="C84" s="397" t="s">
        <v>53</v>
      </c>
      <c r="D84" s="398"/>
      <c r="E84" s="398"/>
      <c r="F84" s="398"/>
      <c r="G84" s="398"/>
      <c r="H84" s="399"/>
      <c r="I84" s="106"/>
      <c r="J84" s="106"/>
      <c r="K84" s="106"/>
    </row>
    <row r="85" spans="1:11" s="2" customFormat="1" ht="27" customHeight="1" x14ac:dyDescent="0.25">
      <c r="A85" s="130" t="s">
        <v>54</v>
      </c>
      <c r="B85" s="137">
        <v>1</v>
      </c>
      <c r="C85" s="397" t="s">
        <v>55</v>
      </c>
      <c r="D85" s="398"/>
      <c r="E85" s="398"/>
      <c r="F85" s="398"/>
      <c r="G85" s="398"/>
      <c r="H85" s="399"/>
      <c r="I85" s="106"/>
      <c r="J85" s="106"/>
      <c r="K85" s="106"/>
    </row>
    <row r="86" spans="1:11" s="2" customFormat="1" ht="18.75" x14ac:dyDescent="0.25">
      <c r="A86" s="130"/>
      <c r="B86" s="138"/>
      <c r="C86" s="109"/>
      <c r="D86" s="109"/>
      <c r="E86" s="109"/>
      <c r="F86" s="109"/>
      <c r="G86" s="109"/>
      <c r="H86" s="109"/>
      <c r="I86" s="106"/>
      <c r="J86" s="106"/>
      <c r="K86" s="106"/>
    </row>
    <row r="87" spans="1:11" ht="18.75" x14ac:dyDescent="0.3">
      <c r="A87" s="130" t="s">
        <v>56</v>
      </c>
      <c r="B87" s="139">
        <f>B84/B85</f>
        <v>1</v>
      </c>
      <c r="C87" s="123" t="s">
        <v>57</v>
      </c>
      <c r="H87" s="133"/>
    </row>
    <row r="88" spans="1:11" ht="19.5" customHeight="1" x14ac:dyDescent="0.3">
      <c r="A88" s="130"/>
      <c r="B88" s="139"/>
      <c r="H88" s="133"/>
    </row>
    <row r="89" spans="1:11" ht="27" customHeight="1" x14ac:dyDescent="0.3">
      <c r="A89" s="140" t="s">
        <v>116</v>
      </c>
      <c r="B89" s="141">
        <v>20</v>
      </c>
      <c r="D89" s="212" t="s">
        <v>58</v>
      </c>
      <c r="E89" s="213"/>
      <c r="F89" s="391" t="s">
        <v>59</v>
      </c>
      <c r="G89" s="392"/>
    </row>
    <row r="90" spans="1:11" ht="26.25" customHeight="1" x14ac:dyDescent="0.3">
      <c r="A90" s="142" t="s">
        <v>60</v>
      </c>
      <c r="B90" s="143">
        <v>1</v>
      </c>
      <c r="C90" s="120" t="s">
        <v>61</v>
      </c>
      <c r="D90" s="214" t="s">
        <v>62</v>
      </c>
      <c r="E90" s="145" t="s">
        <v>63</v>
      </c>
      <c r="F90" s="214" t="s">
        <v>62</v>
      </c>
      <c r="G90" s="146" t="s">
        <v>63</v>
      </c>
    </row>
    <row r="91" spans="1:11" ht="26.25" customHeight="1" x14ac:dyDescent="0.3">
      <c r="A91" s="142" t="s">
        <v>64</v>
      </c>
      <c r="B91" s="143">
        <v>50</v>
      </c>
      <c r="C91" s="147">
        <v>1</v>
      </c>
      <c r="D91" s="215">
        <v>9505413</v>
      </c>
      <c r="E91" s="216">
        <f>IF(ISBLANK(D91),"-",$D$101/$D$98*D91)</f>
        <v>9752806.5931648575</v>
      </c>
      <c r="F91" s="217">
        <v>9711468</v>
      </c>
      <c r="G91" s="218">
        <f>IF(ISBLANK(F91),"-",$D$101/$F$98*F91)</f>
        <v>9556881.9932811595</v>
      </c>
    </row>
    <row r="92" spans="1:11" ht="26.25" customHeight="1" x14ac:dyDescent="0.3">
      <c r="A92" s="142" t="s">
        <v>65</v>
      </c>
      <c r="B92" s="143">
        <v>1</v>
      </c>
      <c r="C92" s="149">
        <v>2</v>
      </c>
      <c r="D92" s="196">
        <v>9546358</v>
      </c>
      <c r="E92" s="219">
        <f>IF(ISBLANK(D92),"-",$D$101/$D$98*D92)</f>
        <v>9794817.2523500118</v>
      </c>
      <c r="F92" s="220">
        <v>9759988</v>
      </c>
      <c r="G92" s="221">
        <f>IF(ISBLANK(F92),"-",$D$101/$F$98*F92)</f>
        <v>9604629.6576212998</v>
      </c>
    </row>
    <row r="93" spans="1:11" ht="26.25" customHeight="1" x14ac:dyDescent="0.3">
      <c r="A93" s="142" t="s">
        <v>66</v>
      </c>
      <c r="B93" s="143">
        <v>1</v>
      </c>
      <c r="C93" s="149">
        <v>3</v>
      </c>
      <c r="D93" s="196">
        <v>9551447</v>
      </c>
      <c r="E93" s="219">
        <f>IF(ISBLANK(D93),"-",$D$101/$D$98*D93)</f>
        <v>9800038.7017233968</v>
      </c>
      <c r="F93" s="220">
        <v>9759819</v>
      </c>
      <c r="G93" s="221">
        <f>IF(ISBLANK(F93),"-",$D$101/$F$98*F93)</f>
        <v>9604463.3477434441</v>
      </c>
    </row>
    <row r="94" spans="1:11" ht="26.25" customHeight="1" x14ac:dyDescent="0.3">
      <c r="A94" s="142" t="s">
        <v>67</v>
      </c>
      <c r="B94" s="143">
        <v>1</v>
      </c>
      <c r="C94" s="152">
        <v>4</v>
      </c>
      <c r="D94" s="222"/>
      <c r="E94" s="223" t="str">
        <f>IF(ISBLANK(D94),"-",$D$101/$D$98*D94)</f>
        <v>-</v>
      </c>
      <c r="F94" s="224"/>
      <c r="G94" s="225" t="str">
        <f>IF(ISBLANK(F94),"-",$D$101/$F$98*F94)</f>
        <v>-</v>
      </c>
    </row>
    <row r="95" spans="1:11" ht="27" customHeight="1" x14ac:dyDescent="0.3">
      <c r="A95" s="142" t="s">
        <v>68</v>
      </c>
      <c r="B95" s="143">
        <v>1</v>
      </c>
      <c r="C95" s="156" t="s">
        <v>69</v>
      </c>
      <c r="D95" s="157">
        <f>AVERAGE(D91:D94)</f>
        <v>9534406</v>
      </c>
      <c r="E95" s="158">
        <f>AVERAGE(E91:E94)</f>
        <v>9782554.1824127566</v>
      </c>
      <c r="F95" s="226">
        <f>AVERAGE(F91:F94)</f>
        <v>9743758.333333334</v>
      </c>
      <c r="G95" s="227">
        <f>AVERAGE(G91:G94)</f>
        <v>9588658.3328819666</v>
      </c>
    </row>
    <row r="96" spans="1:11" ht="26.25" customHeight="1" x14ac:dyDescent="0.3">
      <c r="A96" s="142" t="s">
        <v>70</v>
      </c>
      <c r="B96" s="143">
        <v>1</v>
      </c>
      <c r="C96" s="273" t="s">
        <v>71</v>
      </c>
      <c r="D96" s="162">
        <v>24.4</v>
      </c>
      <c r="E96" s="163"/>
      <c r="F96" s="164">
        <v>25.44</v>
      </c>
    </row>
    <row r="97" spans="1:9" ht="26.25" customHeight="1" x14ac:dyDescent="0.3">
      <c r="A97" s="142" t="s">
        <v>72</v>
      </c>
      <c r="B97" s="143">
        <v>1</v>
      </c>
      <c r="C97" s="274" t="s">
        <v>73</v>
      </c>
      <c r="D97" s="166">
        <f>D96*$B$87</f>
        <v>24.4</v>
      </c>
      <c r="E97" s="167"/>
      <c r="F97" s="168">
        <f>F96*$B$87</f>
        <v>25.44</v>
      </c>
    </row>
    <row r="98" spans="1:9" ht="19.5" customHeight="1" x14ac:dyDescent="0.3">
      <c r="A98" s="204" t="s">
        <v>74</v>
      </c>
      <c r="B98" s="343">
        <f>(B97/B96)*(B95/B94)*(B93/B92)*(B91/B90)*B89</f>
        <v>1000</v>
      </c>
      <c r="C98" s="274" t="s">
        <v>75</v>
      </c>
      <c r="D98" s="169">
        <f>D97*$B$83/100</f>
        <v>24.365839999999999</v>
      </c>
      <c r="E98" s="170"/>
      <c r="F98" s="171">
        <f>F97*$B$83/100</f>
        <v>25.404384</v>
      </c>
    </row>
    <row r="99" spans="1:9" ht="19.5" customHeight="1" x14ac:dyDescent="0.3">
      <c r="A99" s="381" t="s">
        <v>76</v>
      </c>
      <c r="B99" s="382"/>
      <c r="C99" s="274" t="s">
        <v>77</v>
      </c>
      <c r="D99" s="228">
        <f>D98/$B$98</f>
        <v>2.436584E-2</v>
      </c>
      <c r="E99" s="229"/>
      <c r="F99" s="230">
        <f>F98/$B$98</f>
        <v>2.5404383999999999E-2</v>
      </c>
      <c r="G99" s="231"/>
      <c r="H99" s="161"/>
    </row>
    <row r="100" spans="1:9" ht="19.5" customHeight="1" x14ac:dyDescent="0.3">
      <c r="A100" s="383"/>
      <c r="B100" s="384"/>
      <c r="C100" s="165" t="s">
        <v>117</v>
      </c>
      <c r="D100" s="232">
        <f>$B$56/$B$116</f>
        <v>2.5000000000000001E-2</v>
      </c>
      <c r="F100" s="174"/>
      <c r="G100" s="233"/>
      <c r="H100" s="161"/>
    </row>
    <row r="101" spans="1:9" ht="18.75" x14ac:dyDescent="0.3">
      <c r="C101" s="165" t="s">
        <v>78</v>
      </c>
      <c r="D101" s="166">
        <f>D100*$B$98</f>
        <v>25</v>
      </c>
      <c r="F101" s="174"/>
      <c r="G101" s="231"/>
      <c r="H101" s="161"/>
    </row>
    <row r="102" spans="1:9" ht="19.5" customHeight="1" x14ac:dyDescent="0.3">
      <c r="C102" s="175" t="s">
        <v>79</v>
      </c>
      <c r="D102" s="234">
        <f>D101/B34</f>
        <v>25</v>
      </c>
      <c r="F102" s="177"/>
      <c r="G102" s="231"/>
      <c r="H102" s="161"/>
      <c r="I102" s="112"/>
    </row>
    <row r="103" spans="1:9" ht="18.75" x14ac:dyDescent="0.3">
      <c r="C103" s="178" t="s">
        <v>108</v>
      </c>
      <c r="D103" s="179">
        <f>AVERAGE(E91:E94,G91:G94)</f>
        <v>9685606.2576473635</v>
      </c>
      <c r="F103" s="177"/>
      <c r="G103" s="235"/>
      <c r="H103" s="161"/>
      <c r="I103" s="113"/>
    </row>
    <row r="104" spans="1:9" ht="18.75" x14ac:dyDescent="0.3">
      <c r="C104" s="180" t="s">
        <v>81</v>
      </c>
      <c r="D104" s="236">
        <f>STDEV(E91:E94,G91:G94)/D103</f>
        <v>1.1239029335381562E-2</v>
      </c>
      <c r="F104" s="177"/>
      <c r="G104" s="231"/>
      <c r="H104" s="161"/>
      <c r="I104" s="113"/>
    </row>
    <row r="105" spans="1:9" ht="19.5" customHeight="1" x14ac:dyDescent="0.3">
      <c r="C105" s="182" t="s">
        <v>20</v>
      </c>
      <c r="D105" s="237">
        <f>COUNT(E91:E94,G91:G94)</f>
        <v>6</v>
      </c>
      <c r="F105" s="177"/>
      <c r="G105" s="231"/>
      <c r="H105" s="161"/>
      <c r="I105" s="113"/>
    </row>
    <row r="106" spans="1:9" ht="19.5" customHeight="1" x14ac:dyDescent="0.3">
      <c r="A106" s="184"/>
      <c r="B106" s="184"/>
      <c r="C106" s="184"/>
      <c r="D106" s="184"/>
      <c r="E106" s="184"/>
    </row>
    <row r="107" spans="1:9" ht="26.25" customHeight="1" x14ac:dyDescent="0.3">
      <c r="A107" s="140" t="s">
        <v>109</v>
      </c>
      <c r="B107" s="141">
        <v>1000</v>
      </c>
      <c r="C107" s="238" t="s">
        <v>121</v>
      </c>
      <c r="D107" s="239" t="s">
        <v>62</v>
      </c>
      <c r="E107" s="240" t="s">
        <v>110</v>
      </c>
      <c r="F107" s="241" t="s">
        <v>111</v>
      </c>
    </row>
    <row r="108" spans="1:9" ht="26.25" customHeight="1" x14ac:dyDescent="0.3">
      <c r="A108" s="142" t="s">
        <v>112</v>
      </c>
      <c r="B108" s="143">
        <v>1</v>
      </c>
      <c r="C108" s="242">
        <v>1</v>
      </c>
      <c r="D108" s="243">
        <v>8262195</v>
      </c>
      <c r="E108" s="244">
        <f t="shared" ref="E108:E113" si="1">IF(ISBLANK(D108),"-",D108/$D$103*$D$100*$B$116)</f>
        <v>21.325962413236923</v>
      </c>
      <c r="F108" s="245">
        <f t="shared" ref="F108:F113" si="2">IF(ISBLANK(D108), "-", E108/$B$56)</f>
        <v>0.85303849652947694</v>
      </c>
    </row>
    <row r="109" spans="1:9" ht="26.25" customHeight="1" x14ac:dyDescent="0.3">
      <c r="A109" s="142" t="s">
        <v>90</v>
      </c>
      <c r="B109" s="143">
        <v>1</v>
      </c>
      <c r="C109" s="242">
        <v>2</v>
      </c>
      <c r="D109" s="243">
        <v>7070193</v>
      </c>
      <c r="E109" s="246">
        <f t="shared" si="1"/>
        <v>18.249226769923826</v>
      </c>
      <c r="F109" s="247">
        <f t="shared" si="2"/>
        <v>0.72996907079695306</v>
      </c>
    </row>
    <row r="110" spans="1:9" ht="26.25" customHeight="1" x14ac:dyDescent="0.3">
      <c r="A110" s="142" t="s">
        <v>91</v>
      </c>
      <c r="B110" s="143">
        <v>1</v>
      </c>
      <c r="C110" s="242">
        <v>3</v>
      </c>
      <c r="D110" s="243">
        <v>8186828</v>
      </c>
      <c r="E110" s="246">
        <f t="shared" si="1"/>
        <v>21.131428901355584</v>
      </c>
      <c r="F110" s="247">
        <f t="shared" si="2"/>
        <v>0.84525715605422336</v>
      </c>
    </row>
    <row r="111" spans="1:9" ht="26.25" customHeight="1" x14ac:dyDescent="0.3">
      <c r="A111" s="142" t="s">
        <v>92</v>
      </c>
      <c r="B111" s="143">
        <v>1</v>
      </c>
      <c r="C111" s="242">
        <v>4</v>
      </c>
      <c r="D111" s="243">
        <v>7903429</v>
      </c>
      <c r="E111" s="246">
        <f t="shared" si="1"/>
        <v>20.399933648344863</v>
      </c>
      <c r="F111" s="247">
        <f t="shared" si="2"/>
        <v>0.81599734593379447</v>
      </c>
    </row>
    <row r="112" spans="1:9" ht="26.25" customHeight="1" x14ac:dyDescent="0.3">
      <c r="A112" s="142" t="s">
        <v>93</v>
      </c>
      <c r="B112" s="143">
        <v>1</v>
      </c>
      <c r="C112" s="242">
        <v>5</v>
      </c>
      <c r="D112" s="243">
        <v>9174972</v>
      </c>
      <c r="E112" s="246">
        <f t="shared" si="1"/>
        <v>23.681976522522312</v>
      </c>
      <c r="F112" s="247">
        <f t="shared" si="2"/>
        <v>0.94727906090089253</v>
      </c>
    </row>
    <row r="113" spans="1:11" ht="26.25" customHeight="1" x14ac:dyDescent="0.3">
      <c r="A113" s="142" t="s">
        <v>95</v>
      </c>
      <c r="B113" s="143">
        <v>1</v>
      </c>
      <c r="C113" s="248">
        <v>6</v>
      </c>
      <c r="D113" s="249">
        <v>7623263</v>
      </c>
      <c r="E113" s="250">
        <f t="shared" si="1"/>
        <v>19.676783252418971</v>
      </c>
      <c r="F113" s="251">
        <f t="shared" si="2"/>
        <v>0.78707133009675889</v>
      </c>
    </row>
    <row r="114" spans="1:11" ht="26.25" customHeight="1" x14ac:dyDescent="0.3">
      <c r="A114" s="142" t="s">
        <v>96</v>
      </c>
      <c r="B114" s="143">
        <v>1</v>
      </c>
      <c r="C114" s="242"/>
      <c r="D114" s="149"/>
      <c r="E114" s="211"/>
      <c r="F114" s="252"/>
    </row>
    <row r="115" spans="1:11" ht="26.25" customHeight="1" x14ac:dyDescent="0.3">
      <c r="A115" s="142" t="s">
        <v>97</v>
      </c>
      <c r="B115" s="143">
        <v>1</v>
      </c>
      <c r="C115" s="242"/>
      <c r="D115" s="253"/>
      <c r="E115" s="254" t="s">
        <v>69</v>
      </c>
      <c r="F115" s="270">
        <f>AVERAGE(F108:F113)</f>
        <v>0.82976874338534989</v>
      </c>
    </row>
    <row r="116" spans="1:11" ht="27" customHeight="1" x14ac:dyDescent="0.3">
      <c r="A116" s="142" t="s">
        <v>98</v>
      </c>
      <c r="B116" s="255">
        <f>(B115/B114)*(B113/B112)*(B111/B110)*(B109/B108)*B107</f>
        <v>1000</v>
      </c>
      <c r="C116" s="256"/>
      <c r="D116" s="257"/>
      <c r="E116" s="156" t="s">
        <v>81</v>
      </c>
      <c r="F116" s="271">
        <f>STDEV(F108:F113)/F115</f>
        <v>8.7840415248462797E-2</v>
      </c>
    </row>
    <row r="117" spans="1:11" ht="19.5" customHeight="1" x14ac:dyDescent="0.3">
      <c r="A117" s="381" t="s">
        <v>76</v>
      </c>
      <c r="B117" s="382"/>
      <c r="C117" s="258"/>
      <c r="D117" s="259"/>
      <c r="E117" s="260" t="s">
        <v>20</v>
      </c>
      <c r="F117" s="272">
        <f>COUNT(F108:F113)</f>
        <v>6</v>
      </c>
      <c r="I117" s="113"/>
    </row>
    <row r="118" spans="1:11" ht="19.5" customHeight="1" x14ac:dyDescent="0.3">
      <c r="A118" s="383"/>
      <c r="B118" s="384"/>
      <c r="C118" s="211"/>
      <c r="D118" s="211"/>
      <c r="E118" s="211"/>
      <c r="F118" s="149"/>
      <c r="G118" s="211"/>
      <c r="H118" s="211"/>
    </row>
    <row r="119" spans="1:11" ht="18.75" x14ac:dyDescent="0.3">
      <c r="A119" s="109"/>
      <c r="B119" s="109"/>
      <c r="C119" s="211"/>
      <c r="D119" s="211"/>
      <c r="E119" s="211"/>
      <c r="F119" s="149"/>
      <c r="G119" s="211"/>
      <c r="H119" s="211"/>
    </row>
    <row r="120" spans="1:11" ht="18.75" x14ac:dyDescent="0.3">
      <c r="A120" s="276" t="s">
        <v>122</v>
      </c>
      <c r="B120" s="276" t="s">
        <v>123</v>
      </c>
      <c r="C120" s="105"/>
      <c r="D120" s="105"/>
      <c r="E120" s="105"/>
      <c r="F120" s="105"/>
      <c r="G120" s="105"/>
      <c r="H120" s="105"/>
    </row>
    <row r="121" spans="1:11" ht="18.75" x14ac:dyDescent="0.3">
      <c r="A121" s="276"/>
      <c r="B121" s="276"/>
      <c r="C121" s="105"/>
      <c r="D121" s="105"/>
      <c r="E121" s="105"/>
      <c r="F121" s="105"/>
      <c r="G121" s="105"/>
      <c r="H121" s="105"/>
    </row>
    <row r="122" spans="1:11" ht="18.75" x14ac:dyDescent="0.3">
      <c r="A122" s="277" t="s">
        <v>4</v>
      </c>
      <c r="B122" s="278" t="s">
        <v>9</v>
      </c>
      <c r="C122" s="105"/>
      <c r="D122" s="105"/>
      <c r="E122" s="105"/>
      <c r="F122" s="105"/>
      <c r="G122" s="105"/>
      <c r="H122" s="105"/>
    </row>
    <row r="123" spans="1:11" ht="18.75" x14ac:dyDescent="0.3">
      <c r="A123" s="279" t="s">
        <v>48</v>
      </c>
      <c r="B123" s="278" t="s">
        <v>126</v>
      </c>
      <c r="C123" s="105"/>
      <c r="D123" s="105"/>
      <c r="E123" s="105"/>
      <c r="F123" s="105"/>
      <c r="G123" s="105"/>
      <c r="H123" s="105"/>
    </row>
    <row r="124" spans="1:11" ht="19.5" customHeight="1" x14ac:dyDescent="0.3">
      <c r="A124" s="279" t="s">
        <v>6</v>
      </c>
      <c r="B124" s="278">
        <v>99.86</v>
      </c>
      <c r="C124" s="105"/>
      <c r="D124" s="105"/>
      <c r="E124" s="105"/>
      <c r="F124" s="105"/>
      <c r="G124" s="105"/>
      <c r="H124" s="105"/>
    </row>
    <row r="125" spans="1:11" s="2" customFormat="1" ht="15.75" customHeight="1" x14ac:dyDescent="0.3">
      <c r="A125" s="279" t="s">
        <v>49</v>
      </c>
      <c r="B125" s="278">
        <v>0</v>
      </c>
      <c r="C125" s="393" t="s">
        <v>50</v>
      </c>
      <c r="D125" s="394"/>
      <c r="E125" s="394"/>
      <c r="F125" s="394"/>
      <c r="G125" s="395"/>
      <c r="I125" s="106"/>
      <c r="J125" s="106"/>
      <c r="K125" s="106"/>
    </row>
    <row r="126" spans="1:11" s="2" customFormat="1" ht="19.5" customHeight="1" x14ac:dyDescent="0.3">
      <c r="A126" s="279" t="s">
        <v>51</v>
      </c>
      <c r="B126" s="280">
        <f>B124-B125</f>
        <v>99.86</v>
      </c>
      <c r="C126" s="281"/>
      <c r="D126" s="281"/>
      <c r="E126" s="281"/>
      <c r="F126" s="281"/>
      <c r="G126" s="282"/>
      <c r="I126" s="106"/>
      <c r="J126" s="106"/>
      <c r="K126" s="106"/>
    </row>
    <row r="127" spans="1:11" s="2" customFormat="1" ht="27" customHeight="1" x14ac:dyDescent="0.25">
      <c r="A127" s="130" t="s">
        <v>52</v>
      </c>
      <c r="B127" s="137">
        <v>1</v>
      </c>
      <c r="C127" s="397" t="s">
        <v>53</v>
      </c>
      <c r="D127" s="398"/>
      <c r="E127" s="398"/>
      <c r="F127" s="398"/>
      <c r="G127" s="398"/>
      <c r="H127" s="399"/>
      <c r="I127" s="106"/>
      <c r="J127" s="106"/>
      <c r="K127" s="106"/>
    </row>
    <row r="128" spans="1:11" s="2" customFormat="1" ht="27" customHeight="1" x14ac:dyDescent="0.25">
      <c r="A128" s="130" t="s">
        <v>54</v>
      </c>
      <c r="B128" s="137">
        <v>1</v>
      </c>
      <c r="C128" s="397" t="s">
        <v>55</v>
      </c>
      <c r="D128" s="398"/>
      <c r="E128" s="398"/>
      <c r="F128" s="398"/>
      <c r="G128" s="398"/>
      <c r="H128" s="399"/>
      <c r="I128" s="106"/>
      <c r="J128" s="106"/>
      <c r="K128" s="106"/>
    </row>
    <row r="129" spans="1:11" s="2" customFormat="1" ht="18.75" x14ac:dyDescent="0.25">
      <c r="A129" s="130"/>
      <c r="B129" s="138"/>
      <c r="C129" s="109"/>
      <c r="D129" s="109"/>
      <c r="E129" s="109"/>
      <c r="F129" s="109"/>
      <c r="G129" s="109"/>
      <c r="H129" s="109"/>
      <c r="I129" s="106"/>
      <c r="J129" s="106"/>
      <c r="K129" s="106"/>
    </row>
    <row r="130" spans="1:11" ht="18.75" x14ac:dyDescent="0.3">
      <c r="A130" s="130" t="s">
        <v>56</v>
      </c>
      <c r="B130" s="139">
        <f>B127/B128</f>
        <v>1</v>
      </c>
      <c r="C130" s="123" t="s">
        <v>57</v>
      </c>
      <c r="H130" s="133"/>
    </row>
    <row r="131" spans="1:11" ht="19.5" customHeight="1" x14ac:dyDescent="0.3">
      <c r="A131" s="276"/>
      <c r="B131" s="276"/>
      <c r="C131" s="105"/>
      <c r="D131" s="105"/>
      <c r="E131" s="105"/>
      <c r="F131" s="105"/>
      <c r="G131" s="105"/>
      <c r="H131" s="105"/>
    </row>
    <row r="132" spans="1:11" ht="27" customHeight="1" x14ac:dyDescent="0.3">
      <c r="A132" s="283" t="s">
        <v>116</v>
      </c>
      <c r="B132" s="338">
        <v>20</v>
      </c>
      <c r="C132" s="105"/>
      <c r="D132" s="407" t="s">
        <v>58</v>
      </c>
      <c r="E132" s="408"/>
      <c r="F132" s="407" t="s">
        <v>59</v>
      </c>
      <c r="G132" s="408"/>
      <c r="H132" s="105"/>
    </row>
    <row r="133" spans="1:11" ht="26.25" customHeight="1" x14ac:dyDescent="0.3">
      <c r="A133" s="284" t="s">
        <v>60</v>
      </c>
      <c r="B133" s="339">
        <v>1</v>
      </c>
      <c r="C133" s="285" t="s">
        <v>124</v>
      </c>
      <c r="D133" s="337" t="s">
        <v>62</v>
      </c>
      <c r="E133" s="286" t="s">
        <v>63</v>
      </c>
      <c r="F133" s="337" t="s">
        <v>62</v>
      </c>
      <c r="G133" s="286" t="s">
        <v>63</v>
      </c>
      <c r="H133" s="105"/>
    </row>
    <row r="134" spans="1:11" ht="26.25" customHeight="1" x14ac:dyDescent="0.3">
      <c r="A134" s="284" t="s">
        <v>64</v>
      </c>
      <c r="B134" s="339">
        <v>50</v>
      </c>
      <c r="C134" s="287">
        <v>1</v>
      </c>
      <c r="D134" s="215">
        <v>6719045</v>
      </c>
      <c r="E134" s="288">
        <f>IF(ISBLANK(D134),"-",$D$144/$D$141*D134)</f>
        <v>6725774.5409747157</v>
      </c>
      <c r="F134" s="215">
        <v>6552443</v>
      </c>
      <c r="G134" s="288">
        <f>IF(ISBLANK(F134),"-",$D$144/$F$141*F134)</f>
        <v>6684626.4068799838</v>
      </c>
      <c r="H134" s="105"/>
    </row>
    <row r="135" spans="1:11" ht="26.25" customHeight="1" x14ac:dyDescent="0.3">
      <c r="A135" s="284" t="s">
        <v>65</v>
      </c>
      <c r="B135" s="339">
        <v>1</v>
      </c>
      <c r="C135" s="289">
        <v>2</v>
      </c>
      <c r="D135" s="196">
        <v>6688912</v>
      </c>
      <c r="E135" s="290">
        <f>IF(ISBLANK(D135),"-",$D$144/$D$141*D135)</f>
        <v>6695611.3609032631</v>
      </c>
      <c r="F135" s="196">
        <v>6522449</v>
      </c>
      <c r="G135" s="290">
        <f>IF(ISBLANK(F135),"-",$D$144/$F$141*F135)</f>
        <v>6654027.3334583668</v>
      </c>
      <c r="H135" s="105"/>
    </row>
    <row r="136" spans="1:11" ht="26.25" customHeight="1" x14ac:dyDescent="0.3">
      <c r="A136" s="284" t="s">
        <v>66</v>
      </c>
      <c r="B136" s="339">
        <v>1</v>
      </c>
      <c r="C136" s="289">
        <v>3</v>
      </c>
      <c r="D136" s="196">
        <v>6730615</v>
      </c>
      <c r="E136" s="290">
        <f>IF(ISBLANK(D136),"-",$D$144/$D$141*D136)</f>
        <v>6737356.1290484788</v>
      </c>
      <c r="F136" s="196">
        <v>6557852</v>
      </c>
      <c r="G136" s="290">
        <f>IF(ISBLANK(F136),"-",$D$144/$F$141*F136)</f>
        <v>6690144.5234412132</v>
      </c>
      <c r="H136" s="105"/>
    </row>
    <row r="137" spans="1:11" ht="26.25" customHeight="1" x14ac:dyDescent="0.3">
      <c r="A137" s="284" t="s">
        <v>67</v>
      </c>
      <c r="B137" s="339">
        <v>1</v>
      </c>
      <c r="C137" s="291">
        <v>4</v>
      </c>
      <c r="D137" s="222"/>
      <c r="E137" s="292" t="str">
        <f>IF(ISBLANK(D137),"-",$D$144/$D$141*D137)</f>
        <v>-</v>
      </c>
      <c r="F137" s="222"/>
      <c r="G137" s="292" t="str">
        <f>IF(ISBLANK(F137),"-",$D$144/$D$141*F137)</f>
        <v>-</v>
      </c>
      <c r="H137" s="105"/>
    </row>
    <row r="138" spans="1:11" ht="27" customHeight="1" x14ac:dyDescent="0.3">
      <c r="A138" s="284" t="s">
        <v>68</v>
      </c>
      <c r="B138" s="339">
        <v>1</v>
      </c>
      <c r="C138" s="293" t="s">
        <v>69</v>
      </c>
      <c r="D138" s="294">
        <f>AVERAGE(D134:D137)</f>
        <v>6712857.333333333</v>
      </c>
      <c r="E138" s="341">
        <f>AVERAGE(E134:E137)</f>
        <v>6719580.6769754859</v>
      </c>
      <c r="F138" s="294">
        <f>AVERAGE(F134:F137)</f>
        <v>6544248</v>
      </c>
      <c r="G138" s="342">
        <f>AVERAGE(G134:G137)</f>
        <v>6676266.0879265219</v>
      </c>
      <c r="H138" s="105"/>
    </row>
    <row r="139" spans="1:11" ht="26.25" customHeight="1" x14ac:dyDescent="0.3">
      <c r="A139" s="284" t="s">
        <v>70</v>
      </c>
      <c r="B139" s="339">
        <v>1</v>
      </c>
      <c r="C139" s="295" t="s">
        <v>104</v>
      </c>
      <c r="D139" s="143">
        <v>25.01</v>
      </c>
      <c r="E139" s="110"/>
      <c r="F139" s="336">
        <v>24.54</v>
      </c>
      <c r="G139" s="105"/>
      <c r="H139" s="105"/>
    </row>
    <row r="140" spans="1:11" ht="26.25" customHeight="1" x14ac:dyDescent="0.3">
      <c r="A140" s="284" t="s">
        <v>72</v>
      </c>
      <c r="B140" s="339">
        <v>1</v>
      </c>
      <c r="C140" s="296" t="s">
        <v>105</v>
      </c>
      <c r="D140" s="297">
        <f>D139*B130</f>
        <v>25.01</v>
      </c>
      <c r="E140" s="298"/>
      <c r="F140" s="299">
        <f>F139*B130</f>
        <v>24.54</v>
      </c>
      <c r="G140" s="105"/>
      <c r="H140" s="105"/>
    </row>
    <row r="141" spans="1:11" ht="19.5" customHeight="1" x14ac:dyDescent="0.3">
      <c r="A141" s="284" t="s">
        <v>74</v>
      </c>
      <c r="B141" s="340">
        <f>(B140/B139)*(B138/B137)*(B136/B135)*(B134/B133)*B132</f>
        <v>1000</v>
      </c>
      <c r="C141" s="296" t="s">
        <v>106</v>
      </c>
      <c r="D141" s="300">
        <f>D140*B126/100</f>
        <v>24.974986000000005</v>
      </c>
      <c r="E141" s="301"/>
      <c r="F141" s="302">
        <f>F140*B126/100</f>
        <v>24.505643999999997</v>
      </c>
      <c r="G141" s="105"/>
      <c r="H141" s="105"/>
    </row>
    <row r="142" spans="1:11" ht="19.5" customHeight="1" x14ac:dyDescent="0.3">
      <c r="A142" s="381" t="s">
        <v>76</v>
      </c>
      <c r="B142" s="409"/>
      <c r="C142" s="296" t="s">
        <v>107</v>
      </c>
      <c r="D142" s="297">
        <f>D141/$B$141</f>
        <v>2.4974986000000005E-2</v>
      </c>
      <c r="E142" s="301"/>
      <c r="F142" s="303">
        <f>F141/$B$141</f>
        <v>2.4505643999999997E-2</v>
      </c>
      <c r="G142" s="304"/>
      <c r="H142" s="305"/>
    </row>
    <row r="143" spans="1:11" ht="19.5" customHeight="1" x14ac:dyDescent="0.3">
      <c r="A143" s="383"/>
      <c r="B143" s="410"/>
      <c r="C143" s="296" t="s">
        <v>117</v>
      </c>
      <c r="D143" s="306">
        <f>$B$56/$B$159</f>
        <v>2.5000000000000001E-2</v>
      </c>
      <c r="E143" s="105"/>
      <c r="F143" s="307"/>
      <c r="G143" s="308"/>
      <c r="H143" s="305"/>
    </row>
    <row r="144" spans="1:11" ht="18.75" x14ac:dyDescent="0.3">
      <c r="A144" s="105"/>
      <c r="B144" s="105"/>
      <c r="C144" s="296" t="s">
        <v>78</v>
      </c>
      <c r="D144" s="297">
        <f>D143*$B$141</f>
        <v>25</v>
      </c>
      <c r="E144" s="105"/>
      <c r="F144" s="307"/>
      <c r="G144" s="304"/>
      <c r="H144" s="305"/>
    </row>
    <row r="145" spans="1:9" ht="19.5" customHeight="1" x14ac:dyDescent="0.3">
      <c r="A145" s="105"/>
      <c r="B145" s="105"/>
      <c r="C145" s="309" t="s">
        <v>79</v>
      </c>
      <c r="D145" s="310">
        <f>D144/B130</f>
        <v>25</v>
      </c>
      <c r="E145" s="105"/>
      <c r="F145" s="311"/>
      <c r="G145" s="304"/>
      <c r="H145" s="305"/>
      <c r="I145" s="112"/>
    </row>
    <row r="146" spans="1:9" ht="18.75" x14ac:dyDescent="0.3">
      <c r="A146" s="105"/>
      <c r="B146" s="105"/>
      <c r="C146" s="312" t="s">
        <v>108</v>
      </c>
      <c r="D146" s="313">
        <f>AVERAGE(E134:E137,G134:G137)</f>
        <v>6697923.3824510043</v>
      </c>
      <c r="E146" s="105"/>
      <c r="F146" s="311"/>
      <c r="G146" s="314"/>
      <c r="H146" s="305"/>
      <c r="I146" s="113"/>
    </row>
    <row r="147" spans="1:9" ht="18.75" x14ac:dyDescent="0.3">
      <c r="A147" s="105"/>
      <c r="B147" s="105"/>
      <c r="C147" s="315" t="s">
        <v>81</v>
      </c>
      <c r="D147" s="316">
        <f>STDEV(E134:E137,G134:G137)/D146</f>
        <v>4.4790784584426355E-3</v>
      </c>
      <c r="E147" s="105"/>
      <c r="F147" s="311"/>
      <c r="G147" s="304"/>
      <c r="H147" s="305"/>
      <c r="I147" s="113"/>
    </row>
    <row r="148" spans="1:9" ht="19.5" customHeight="1" x14ac:dyDescent="0.3">
      <c r="A148" s="105"/>
      <c r="B148" s="105"/>
      <c r="C148" s="317" t="s">
        <v>20</v>
      </c>
      <c r="D148" s="318">
        <f>COUNT(E134:E137,G134:G137)</f>
        <v>6</v>
      </c>
      <c r="E148" s="105"/>
      <c r="F148" s="311"/>
      <c r="G148" s="304"/>
      <c r="H148" s="305"/>
      <c r="I148" s="113"/>
    </row>
    <row r="149" spans="1:9" ht="19.5" customHeight="1" x14ac:dyDescent="0.3">
      <c r="A149" s="319"/>
      <c r="B149" s="319"/>
      <c r="C149" s="319"/>
      <c r="D149" s="319"/>
      <c r="E149" s="319"/>
      <c r="F149" s="105"/>
      <c r="G149" s="105"/>
      <c r="H149" s="105"/>
    </row>
    <row r="150" spans="1:9" ht="17.25" customHeight="1" x14ac:dyDescent="0.3">
      <c r="A150" s="283" t="s">
        <v>109</v>
      </c>
      <c r="B150" s="338">
        <v>1000</v>
      </c>
      <c r="C150" s="320" t="s">
        <v>121</v>
      </c>
      <c r="D150" s="344" t="s">
        <v>62</v>
      </c>
      <c r="E150" s="321" t="s">
        <v>110</v>
      </c>
      <c r="F150" s="322" t="s">
        <v>111</v>
      </c>
      <c r="G150" s="105"/>
      <c r="H150" s="105"/>
    </row>
    <row r="151" spans="1:9" ht="26.25" customHeight="1" x14ac:dyDescent="0.3">
      <c r="A151" s="284" t="s">
        <v>112</v>
      </c>
      <c r="B151" s="339">
        <v>1</v>
      </c>
      <c r="C151" s="323">
        <v>1</v>
      </c>
      <c r="D151" s="345">
        <v>4605524</v>
      </c>
      <c r="E151" s="324">
        <f t="shared" ref="E151:E156" si="3">IF(ISBLANK(D151),"-",D151/$D$146*$D$143*$B$159)</f>
        <v>17.190119000415763</v>
      </c>
      <c r="F151" s="325">
        <f t="shared" ref="F151:F156" si="4">IF(ISBLANK(D151), "-", E151/$B$56)</f>
        <v>0.68760476001663051</v>
      </c>
      <c r="G151" s="105"/>
      <c r="H151" s="105"/>
    </row>
    <row r="152" spans="1:9" ht="26.25" customHeight="1" x14ac:dyDescent="0.3">
      <c r="A152" s="284" t="s">
        <v>90</v>
      </c>
      <c r="B152" s="339">
        <v>1</v>
      </c>
      <c r="C152" s="323">
        <v>2</v>
      </c>
      <c r="D152" s="346">
        <v>4928829</v>
      </c>
      <c r="E152" s="326">
        <f t="shared" si="3"/>
        <v>18.39685495997854</v>
      </c>
      <c r="F152" s="327">
        <f t="shared" si="4"/>
        <v>0.73587419839914159</v>
      </c>
      <c r="G152" s="105"/>
      <c r="H152" s="105"/>
    </row>
    <row r="153" spans="1:9" ht="26.25" customHeight="1" x14ac:dyDescent="0.3">
      <c r="A153" s="284" t="s">
        <v>91</v>
      </c>
      <c r="B153" s="339">
        <v>1</v>
      </c>
      <c r="C153" s="323">
        <v>3</v>
      </c>
      <c r="D153" s="346">
        <v>5987414</v>
      </c>
      <c r="E153" s="326">
        <f t="shared" si="3"/>
        <v>22.348023626574378</v>
      </c>
      <c r="F153" s="327">
        <f t="shared" si="4"/>
        <v>0.89392094506297515</v>
      </c>
      <c r="G153" s="105"/>
      <c r="H153" s="105"/>
    </row>
    <row r="154" spans="1:9" ht="26.25" customHeight="1" x14ac:dyDescent="0.3">
      <c r="A154" s="284" t="s">
        <v>92</v>
      </c>
      <c r="B154" s="339">
        <v>1</v>
      </c>
      <c r="C154" s="323">
        <v>4</v>
      </c>
      <c r="D154" s="346">
        <v>4961734</v>
      </c>
      <c r="E154" s="326">
        <f t="shared" si="3"/>
        <v>18.519672877268448</v>
      </c>
      <c r="F154" s="327">
        <f t="shared" si="4"/>
        <v>0.74078691509073791</v>
      </c>
      <c r="G154" s="105"/>
      <c r="H154" s="105"/>
    </row>
    <row r="155" spans="1:9" ht="26.25" customHeight="1" x14ac:dyDescent="0.3">
      <c r="A155" s="284" t="s">
        <v>93</v>
      </c>
      <c r="B155" s="339">
        <v>1</v>
      </c>
      <c r="C155" s="323">
        <v>5</v>
      </c>
      <c r="D155" s="346">
        <v>4658045</v>
      </c>
      <c r="E155" s="326">
        <f t="shared" si="3"/>
        <v>17.386153640561123</v>
      </c>
      <c r="F155" s="327">
        <f t="shared" si="4"/>
        <v>0.69544614562244489</v>
      </c>
      <c r="G155" s="105"/>
      <c r="H155" s="105"/>
    </row>
    <row r="156" spans="1:9" ht="26.25" customHeight="1" x14ac:dyDescent="0.3">
      <c r="A156" s="284" t="s">
        <v>95</v>
      </c>
      <c r="B156" s="339">
        <v>1</v>
      </c>
      <c r="C156" s="328">
        <v>6</v>
      </c>
      <c r="D156" s="347">
        <v>5509698</v>
      </c>
      <c r="E156" s="329">
        <f t="shared" si="3"/>
        <v>20.564948587034333</v>
      </c>
      <c r="F156" s="330">
        <f t="shared" si="4"/>
        <v>0.82259794348137338</v>
      </c>
      <c r="G156" s="105"/>
      <c r="H156" s="105"/>
    </row>
    <row r="157" spans="1:9" ht="26.25" customHeight="1" x14ac:dyDescent="0.3">
      <c r="A157" s="284" t="s">
        <v>96</v>
      </c>
      <c r="B157" s="339">
        <v>1</v>
      </c>
      <c r="C157" s="323"/>
      <c r="D157" s="289"/>
      <c r="E157" s="111"/>
      <c r="F157" s="331"/>
      <c r="G157" s="105"/>
      <c r="H157" s="105"/>
    </row>
    <row r="158" spans="1:9" ht="26.25" customHeight="1" x14ac:dyDescent="0.4">
      <c r="A158" s="284" t="s">
        <v>97</v>
      </c>
      <c r="B158" s="339">
        <v>1</v>
      </c>
      <c r="C158" s="323"/>
      <c r="D158" s="332"/>
      <c r="E158" s="358" t="s">
        <v>69</v>
      </c>
      <c r="F158" s="356">
        <f>AVERAGE(F151:F156)</f>
        <v>0.76270515127888394</v>
      </c>
      <c r="G158" s="105"/>
      <c r="H158" s="105"/>
    </row>
    <row r="159" spans="1:9" ht="27" customHeight="1" x14ac:dyDescent="0.4">
      <c r="A159" s="284" t="s">
        <v>98</v>
      </c>
      <c r="B159" s="340">
        <f>(B158/B157)*(B156/B155)*(B154/B153)*(B152/B151)*B150</f>
        <v>1000</v>
      </c>
      <c r="C159" s="333"/>
      <c r="D159" s="111"/>
      <c r="E159" s="359" t="s">
        <v>81</v>
      </c>
      <c r="F159" s="357">
        <f>STDEV(F151:F156)/F158</f>
        <v>0.10516623047393651</v>
      </c>
      <c r="G159" s="105"/>
      <c r="H159" s="105"/>
    </row>
    <row r="160" spans="1:9" ht="27" customHeight="1" x14ac:dyDescent="0.4">
      <c r="A160" s="381" t="s">
        <v>76</v>
      </c>
      <c r="B160" s="382"/>
      <c r="C160" s="334"/>
      <c r="D160" s="354"/>
      <c r="E160" s="360" t="s">
        <v>20</v>
      </c>
      <c r="F160" s="355">
        <f>COUNT(F151:F156)</f>
        <v>6</v>
      </c>
      <c r="G160" s="105"/>
      <c r="H160" s="105"/>
      <c r="I160" s="113"/>
    </row>
    <row r="161" spans="1:8" ht="19.5" customHeight="1" x14ac:dyDescent="0.3">
      <c r="A161" s="383"/>
      <c r="B161" s="384"/>
      <c r="C161" s="111"/>
      <c r="D161" s="111"/>
      <c r="E161" s="111"/>
      <c r="F161" s="289"/>
      <c r="G161" s="111"/>
      <c r="H161" s="111"/>
    </row>
    <row r="162" spans="1:8" ht="18.75" x14ac:dyDescent="0.3">
      <c r="A162" s="109"/>
      <c r="B162" s="109"/>
      <c r="C162" s="111"/>
      <c r="D162" s="111"/>
      <c r="E162" s="111"/>
      <c r="F162" s="289"/>
      <c r="G162" s="111"/>
      <c r="H162" s="111"/>
    </row>
    <row r="163" spans="1:8" ht="18.75" x14ac:dyDescent="0.3">
      <c r="A163" s="276" t="s">
        <v>122</v>
      </c>
      <c r="B163" s="335" t="s">
        <v>125</v>
      </c>
      <c r="C163" s="111"/>
      <c r="D163" s="111"/>
      <c r="E163" s="111"/>
      <c r="F163" s="289"/>
      <c r="G163" s="111"/>
      <c r="H163" s="111"/>
    </row>
    <row r="164" spans="1:8" ht="19.5" customHeight="1" x14ac:dyDescent="0.3">
      <c r="A164" s="109"/>
      <c r="B164" s="109"/>
      <c r="C164" s="111"/>
      <c r="D164" s="111"/>
      <c r="E164" s="111"/>
      <c r="F164" s="289"/>
      <c r="G164" s="111"/>
      <c r="H164" s="111"/>
    </row>
    <row r="165" spans="1:8" ht="26.25" customHeight="1" x14ac:dyDescent="0.4">
      <c r="A165" s="348" t="s">
        <v>69</v>
      </c>
      <c r="B165" s="351">
        <f>AVERAGE(F108:F113,F151:F156)</f>
        <v>0.79623694733211681</v>
      </c>
      <c r="C165" s="111"/>
      <c r="D165" s="111"/>
      <c r="E165" s="111"/>
      <c r="F165" s="289"/>
      <c r="G165" s="111"/>
      <c r="H165" s="111"/>
    </row>
    <row r="166" spans="1:8" ht="26.25" customHeight="1" x14ac:dyDescent="0.4">
      <c r="A166" s="284" t="s">
        <v>81</v>
      </c>
      <c r="B166" s="350">
        <f>STDEV(F108:F113,F151:F156)/B165</f>
        <v>0.10176600009172557</v>
      </c>
      <c r="C166" s="111"/>
      <c r="D166" s="111"/>
      <c r="E166" s="111"/>
      <c r="F166" s="289"/>
      <c r="G166" s="111"/>
      <c r="H166" s="111"/>
    </row>
    <row r="167" spans="1:8" ht="27" customHeight="1" x14ac:dyDescent="0.4">
      <c r="A167" s="349" t="s">
        <v>20</v>
      </c>
      <c r="B167" s="353">
        <f>COUNT(F108:F113,F151:F156)</f>
        <v>12</v>
      </c>
      <c r="C167" s="111"/>
      <c r="D167" s="111"/>
      <c r="E167" s="111"/>
      <c r="F167" s="289"/>
      <c r="G167" s="111"/>
      <c r="H167" s="111"/>
    </row>
    <row r="168" spans="1:8" ht="26.25" customHeight="1" x14ac:dyDescent="0.3">
      <c r="A168" s="129" t="s">
        <v>120</v>
      </c>
      <c r="B168" s="210" t="s">
        <v>113</v>
      </c>
      <c r="C168" s="396" t="str">
        <f>B20</f>
        <v>Eplerenone</v>
      </c>
      <c r="D168" s="396"/>
      <c r="E168" s="211" t="s">
        <v>114</v>
      </c>
      <c r="F168" s="211"/>
      <c r="G168" s="352">
        <f>B165</f>
        <v>0.79623694733211681</v>
      </c>
      <c r="H168" s="211"/>
    </row>
    <row r="169" spans="1:8" ht="19.5" customHeight="1" x14ac:dyDescent="0.3">
      <c r="A169" s="121"/>
      <c r="B169" s="121"/>
      <c r="C169" s="261"/>
      <c r="D169" s="261"/>
      <c r="E169" s="261"/>
      <c r="F169" s="261"/>
      <c r="G169" s="261"/>
      <c r="H169" s="261"/>
    </row>
    <row r="170" spans="1:8" ht="18.75" x14ac:dyDescent="0.3">
      <c r="B170" s="400" t="s">
        <v>26</v>
      </c>
      <c r="C170" s="400"/>
      <c r="E170" s="120" t="s">
        <v>27</v>
      </c>
      <c r="F170" s="262"/>
      <c r="G170" s="400" t="s">
        <v>28</v>
      </c>
      <c r="H170" s="400"/>
    </row>
    <row r="171" spans="1:8" ht="83.25" customHeight="1" x14ac:dyDescent="0.3">
      <c r="A171" s="263" t="s">
        <v>29</v>
      </c>
      <c r="B171" s="264" t="s">
        <v>127</v>
      </c>
      <c r="C171" s="264"/>
      <c r="E171" s="265"/>
      <c r="F171" s="211"/>
      <c r="G171" s="266"/>
      <c r="H171" s="266"/>
    </row>
    <row r="172" spans="1:8" ht="84" customHeight="1" x14ac:dyDescent="0.3">
      <c r="A172" s="263" t="s">
        <v>30</v>
      </c>
      <c r="B172" s="267"/>
      <c r="C172" s="267"/>
      <c r="E172" s="268"/>
      <c r="F172" s="211"/>
      <c r="G172" s="269"/>
      <c r="H172" s="269"/>
    </row>
    <row r="173" spans="1:8" ht="18.75" x14ac:dyDescent="0.3">
      <c r="A173" s="206"/>
      <c r="B173" s="206"/>
      <c r="C173" s="149"/>
      <c r="D173" s="149"/>
      <c r="E173" s="149"/>
      <c r="F173" s="208"/>
      <c r="G173" s="149"/>
      <c r="H173" s="149"/>
    </row>
    <row r="174" spans="1:8" ht="18.75" x14ac:dyDescent="0.3">
      <c r="A174" s="206"/>
      <c r="B174" s="206"/>
      <c r="C174" s="149"/>
      <c r="D174" s="149"/>
      <c r="E174" s="149"/>
      <c r="F174" s="208"/>
      <c r="G174" s="149"/>
      <c r="H174" s="149"/>
    </row>
    <row r="175" spans="1:8" ht="18.75" x14ac:dyDescent="0.3">
      <c r="A175" s="206"/>
      <c r="B175" s="206"/>
      <c r="C175" s="149"/>
      <c r="D175" s="149"/>
      <c r="E175" s="149"/>
      <c r="F175" s="208"/>
      <c r="G175" s="149"/>
      <c r="H175" s="149"/>
    </row>
    <row r="176" spans="1:8" ht="18.75" x14ac:dyDescent="0.3">
      <c r="A176" s="206"/>
      <c r="B176" s="206"/>
      <c r="C176" s="149"/>
      <c r="D176" s="149"/>
      <c r="E176" s="149"/>
      <c r="F176" s="208"/>
      <c r="G176" s="149"/>
      <c r="H176" s="149"/>
    </row>
    <row r="177" spans="1:8" ht="18.75" x14ac:dyDescent="0.3">
      <c r="A177" s="206"/>
      <c r="B177" s="206"/>
      <c r="C177" s="149"/>
      <c r="D177" s="149"/>
      <c r="E177" s="149"/>
      <c r="F177" s="208"/>
      <c r="G177" s="149"/>
      <c r="H177" s="149"/>
    </row>
    <row r="178" spans="1:8" ht="18.75" x14ac:dyDescent="0.3">
      <c r="A178" s="206"/>
      <c r="B178" s="206"/>
      <c r="C178" s="149"/>
      <c r="D178" s="149"/>
      <c r="E178" s="149"/>
      <c r="F178" s="208"/>
      <c r="G178" s="149"/>
      <c r="H178" s="149"/>
    </row>
    <row r="179" spans="1:8" ht="18.75" x14ac:dyDescent="0.3">
      <c r="A179" s="206"/>
      <c r="B179" s="206"/>
      <c r="C179" s="149"/>
      <c r="D179" s="149"/>
      <c r="E179" s="149"/>
      <c r="F179" s="208"/>
      <c r="G179" s="149"/>
      <c r="H179" s="149"/>
    </row>
    <row r="180" spans="1:8" ht="18.75" x14ac:dyDescent="0.3">
      <c r="A180" s="206"/>
      <c r="B180" s="206"/>
      <c r="C180" s="149"/>
      <c r="D180" s="149"/>
      <c r="E180" s="149"/>
      <c r="F180" s="208"/>
      <c r="G180" s="149"/>
      <c r="H180" s="149"/>
    </row>
    <row r="181" spans="1:8" ht="18.75" x14ac:dyDescent="0.3">
      <c r="A181" s="206"/>
      <c r="B181" s="206"/>
      <c r="C181" s="149"/>
      <c r="D181" s="149"/>
      <c r="E181" s="149"/>
      <c r="F181" s="208"/>
      <c r="G181" s="149"/>
      <c r="H181" s="149"/>
    </row>
    <row r="250" spans="1:1" x14ac:dyDescent="0.3">
      <c r="A250" s="19">
        <v>5</v>
      </c>
    </row>
  </sheetData>
  <sheetProtection password="F258" sheet="1" objects="1" scenarios="1" formatColumns="0" formatRows="0" insertHyperlinks="0" autoFilter="0" pivotTables="0"/>
  <mergeCells count="40">
    <mergeCell ref="C84:H84"/>
    <mergeCell ref="C125:G125"/>
    <mergeCell ref="F132:G132"/>
    <mergeCell ref="A142:B143"/>
    <mergeCell ref="A160:B161"/>
    <mergeCell ref="C127:H127"/>
    <mergeCell ref="C128:H128"/>
    <mergeCell ref="D132:E132"/>
    <mergeCell ref="C85:H85"/>
    <mergeCell ref="B170:C170"/>
    <mergeCell ref="G170:H17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70:B71"/>
    <mergeCell ref="C168:D168"/>
    <mergeCell ref="B21:H21"/>
    <mergeCell ref="A1:H7"/>
    <mergeCell ref="A8:H14"/>
    <mergeCell ref="A117:B118"/>
    <mergeCell ref="A99:B100"/>
    <mergeCell ref="A16:H16"/>
    <mergeCell ref="B79:C79"/>
    <mergeCell ref="B80:C80"/>
    <mergeCell ref="B26:C26"/>
    <mergeCell ref="B27:C27"/>
    <mergeCell ref="A17:H17"/>
    <mergeCell ref="B18:C18"/>
    <mergeCell ref="F89:G89"/>
    <mergeCell ref="A46:B47"/>
    <mergeCell ref="C82:G82"/>
    <mergeCell ref="C76:D76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SST (S2)</vt:lpstr>
      <vt:lpstr>Uniformity</vt:lpstr>
      <vt:lpstr>Eplerenone </vt:lpstr>
      <vt:lpstr>'Eplerenone '!Print_Area</vt:lpstr>
      <vt:lpstr>SST!Print_Area</vt:lpstr>
      <vt:lpstr>'SST (S2)'!Print_Area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2016-04-05T07:26:38Z</cp:lastPrinted>
  <dcterms:created xsi:type="dcterms:W3CDTF">2005-07-05T10:19:27Z</dcterms:created>
  <dcterms:modified xsi:type="dcterms:W3CDTF">2016-04-11T11:00:46Z</dcterms:modified>
  <cp:category/>
</cp:coreProperties>
</file>