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Eplerenone" sheetId="3" r:id="rId3"/>
  </sheets>
  <definedNames>
    <definedName name="_xlnm.Print_Area" localSheetId="2">Eplerenone!$A$1:$I$124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C120" i="3" l="1"/>
  <c r="B116" i="3"/>
  <c r="D100" i="3" s="1"/>
  <c r="B98" i="3"/>
  <c r="F95" i="3"/>
  <c r="D95" i="3"/>
  <c r="B87" i="3"/>
  <c r="D97" i="3" s="1"/>
  <c r="B83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C50" i="2" s="1"/>
  <c r="C45" i="2"/>
  <c r="D39" i="2"/>
  <c r="D37" i="2"/>
  <c r="D35" i="2"/>
  <c r="D31" i="2"/>
  <c r="D29" i="2"/>
  <c r="D27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3" i="2" l="1"/>
  <c r="D25" i="2"/>
  <c r="D33" i="2"/>
  <c r="D41" i="2"/>
  <c r="C49" i="2"/>
  <c r="D101" i="3"/>
  <c r="D102" i="3" s="1"/>
  <c r="I92" i="3"/>
  <c r="F44" i="3"/>
  <c r="F45" i="3" s="1"/>
  <c r="F46" i="3" s="1"/>
  <c r="I39" i="3"/>
  <c r="D45" i="3"/>
  <c r="D46" i="3" s="1"/>
  <c r="E41" i="3"/>
  <c r="D49" i="3"/>
  <c r="D98" i="3"/>
  <c r="D99" i="3" s="1"/>
  <c r="E94" i="3"/>
  <c r="D26" i="2"/>
  <c r="D30" i="2"/>
  <c r="D34" i="2"/>
  <c r="D38" i="2"/>
  <c r="D42" i="2"/>
  <c r="B49" i="2"/>
  <c r="D50" i="2"/>
  <c r="F97" i="3"/>
  <c r="F98" i="3" s="1"/>
  <c r="F99" i="3" s="1"/>
  <c r="D28" i="2"/>
  <c r="D32" i="2"/>
  <c r="D36" i="2"/>
  <c r="D40" i="2"/>
  <c r="D49" i="2"/>
  <c r="B57" i="3"/>
  <c r="B69" i="3" s="1"/>
  <c r="E92" i="3" l="1"/>
  <c r="E91" i="3"/>
  <c r="G39" i="3"/>
  <c r="G38" i="3"/>
  <c r="E40" i="3"/>
  <c r="E39" i="3"/>
  <c r="G41" i="3"/>
  <c r="G40" i="3"/>
  <c r="E38" i="3"/>
  <c r="G92" i="3"/>
  <c r="G91" i="3"/>
  <c r="E93" i="3"/>
  <c r="G93" i="3"/>
  <c r="G94" i="3"/>
  <c r="E95" i="3" l="1"/>
  <c r="G42" i="3"/>
  <c r="D52" i="3"/>
  <c r="E42" i="3"/>
  <c r="D50" i="3"/>
  <c r="G71" i="3" s="1"/>
  <c r="H71" i="3" s="1"/>
  <c r="G95" i="3"/>
  <c r="D103" i="3"/>
  <c r="E113" i="3" s="1"/>
  <c r="F113" i="3" s="1"/>
  <c r="D105" i="3"/>
  <c r="E110" i="3" l="1"/>
  <c r="F110" i="3" s="1"/>
  <c r="E111" i="3"/>
  <c r="F111" i="3" s="1"/>
  <c r="D104" i="3"/>
  <c r="G70" i="3"/>
  <c r="H70" i="3" s="1"/>
  <c r="G66" i="3"/>
  <c r="H66" i="3" s="1"/>
  <c r="E108" i="3"/>
  <c r="G67" i="3"/>
  <c r="H67" i="3" s="1"/>
  <c r="D51" i="3"/>
  <c r="G69" i="3"/>
  <c r="H69" i="3" s="1"/>
  <c r="G68" i="3"/>
  <c r="H68" i="3" s="1"/>
  <c r="G60" i="3"/>
  <c r="H60" i="3" s="1"/>
  <c r="G65" i="3"/>
  <c r="H65" i="3" s="1"/>
  <c r="G64" i="3"/>
  <c r="H64" i="3" s="1"/>
  <c r="G61" i="3"/>
  <c r="H61" i="3" s="1"/>
  <c r="G63" i="3"/>
  <c r="H63" i="3" s="1"/>
  <c r="G62" i="3"/>
  <c r="H62" i="3" s="1"/>
  <c r="E109" i="3"/>
  <c r="F109" i="3" s="1"/>
  <c r="E112" i="3"/>
  <c r="F112" i="3" s="1"/>
  <c r="E115" i="3" l="1"/>
  <c r="E116" i="3" s="1"/>
  <c r="E117" i="3"/>
  <c r="F108" i="3"/>
  <c r="F117" i="3" s="1"/>
  <c r="G74" i="3"/>
  <c r="G72" i="3"/>
  <c r="G73" i="3" s="1"/>
  <c r="H74" i="3"/>
  <c r="H72" i="3"/>
  <c r="F115" i="3" l="1"/>
  <c r="F116" i="3" s="1"/>
  <c r="G76" i="3"/>
  <c r="H73" i="3"/>
  <c r="G120" i="3" l="1"/>
</calcChain>
</file>

<file path=xl/sharedStrings.xml><?xml version="1.0" encoding="utf-8"?>
<sst xmlns="http://schemas.openxmlformats.org/spreadsheetml/2006/main" count="235" uniqueCount="127">
  <si>
    <t>HPLC System Suitability Report</t>
  </si>
  <si>
    <t>Analysis Data</t>
  </si>
  <si>
    <t>Assay</t>
  </si>
  <si>
    <t>Sample(s)</t>
  </si>
  <si>
    <t>Reference Substance:</t>
  </si>
  <si>
    <t>EPLONE 50</t>
  </si>
  <si>
    <t>% age Purity:</t>
  </si>
  <si>
    <t>NDQD201512597</t>
  </si>
  <si>
    <t>Weight (mg):</t>
  </si>
  <si>
    <t>EPLERENONE</t>
  </si>
  <si>
    <t>Standard Conc (mg/mL):</t>
  </si>
  <si>
    <t>Each film coated tablet contains: Eplerenone 50mg</t>
  </si>
  <si>
    <t>2015-12-08 12:16:36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</si>
  <si>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</si>
  <si>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</si>
  <si>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</si>
  <si>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</si>
  <si>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</si>
  <si>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</si>
  <si>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</si>
  <si>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</si>
  <si>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</si>
  <si>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</si>
  <si>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</si>
  <si>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</si>
  <si>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</si>
  <si>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</si>
  <si>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</si>
  <si>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</si>
  <si>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</si>
  <si>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</si>
  <si>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</si>
  <si>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</si>
  <si>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</si>
  <si>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</si>
  <si>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</si>
  <si>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</si>
  <si>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</si>
  <si>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</si>
  <si>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</si>
  <si>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</si>
  <si>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</si>
  <si>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</si>
  <si>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</si>
  <si>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</si>
  <si>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</si>
  <si>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</si>
  <si>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</si>
  <si>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</si>
  <si>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</si>
  <si>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</si>
  <si>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</si>
  <si>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</si>
  <si>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</si>
  <si>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</si>
  <si>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</si>
  <si>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</si>
  <si>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</si>
  <si>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</si>
  <si>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</si>
  <si>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</si>
  <si>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</si>
  <si>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</si>
  <si>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</si>
  <si>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</si>
  <si>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</si>
  <si>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</si>
  <si>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</si>
  <si>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</si>
  <si>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</si>
  <si>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</si>
  <si>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</si>
  <si>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</si>
  <si>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</si>
  <si>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</si>
  <si>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</si>
  <si>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</si>
  <si>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</si>
  <si>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</si>
  <si>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</si>
  <si>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</si>
  <si>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</si>
  <si>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</si>
  <si>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</si>
  <si>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</si>
  <si>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</si>
  <si>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</si>
  <si>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</si>
  <si>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</si>
  <si>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</si>
  <si>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</si>
  <si>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</si>
  <si>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</si>
  <si>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</si>
  <si>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</si>
  <si>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</si>
  <si>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</si>
  <si>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</si>
  <si>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</si>
  <si>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</si>
  <si>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</si>
  <si>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</si>
  <si>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</si>
  <si>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</si>
  <si>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</si>
  <si>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</si>
  <si>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</si>
  <si>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</si>
  <si>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</si>
  <si>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</si>
  <si>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</si>
  <si>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</si>
  <si>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</si>
  <si>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</si>
  <si>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</si>
  <si>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</si>
  <si>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</si>
  <si>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</si>
  <si>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</si>
  <si>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</si>
  <si>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</si>
  <si>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</si>
  <si>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</si>
  <si>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</si>
  <si>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E10-2</t>
  </si>
  <si>
    <t>RUTTO/MUTUA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</si>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</sst>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4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3" workbookViewId="0">
      <selection activeCell="A67" sqref="A6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99.86</v>
      </c>
      <c r="C19" s="10"/>
      <c r="D19" s="10"/>
      <c r="E19" s="10"/>
    </row>
    <row r="20" spans="1:6" ht="16.5" customHeight="1" x14ac:dyDescent="0.3">
      <c r="A20" s="7" t="s">
        <v>8</v>
      </c>
      <c r="B20" s="12">
        <v>25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0.25</v>
      </c>
      <c r="C21" s="10"/>
      <c r="D21" s="10"/>
      <c r="E21" s="10"/>
    </row>
    <row r="22" spans="1:6" ht="15.75" customHeight="1" x14ac:dyDescent="0.25">
      <c r="A22" s="10"/>
      <c r="B22" s="281">
        <v>42453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20265624</v>
      </c>
      <c r="C24" s="18">
        <v>5478.25</v>
      </c>
      <c r="D24" s="19">
        <v>1.4</v>
      </c>
      <c r="E24" s="20">
        <v>2.68</v>
      </c>
    </row>
    <row r="25" spans="1:6" ht="16.5" customHeight="1" x14ac:dyDescent="0.3">
      <c r="A25" s="17">
        <v>2</v>
      </c>
      <c r="B25" s="18">
        <v>20208151</v>
      </c>
      <c r="C25" s="18">
        <v>5461.88</v>
      </c>
      <c r="D25" s="19">
        <v>1.34</v>
      </c>
      <c r="E25" s="19">
        <v>2.68</v>
      </c>
    </row>
    <row r="26" spans="1:6" ht="16.5" customHeight="1" x14ac:dyDescent="0.3">
      <c r="A26" s="17">
        <v>3</v>
      </c>
      <c r="B26" s="18">
        <v>20228262</v>
      </c>
      <c r="C26" s="18">
        <v>5482.48</v>
      </c>
      <c r="D26" s="19">
        <v>1.37</v>
      </c>
      <c r="E26" s="19">
        <v>2.68</v>
      </c>
    </row>
    <row r="27" spans="1:6" ht="16.5" customHeight="1" x14ac:dyDescent="0.3">
      <c r="A27" s="17">
        <v>4</v>
      </c>
      <c r="B27" s="18">
        <v>20217948</v>
      </c>
      <c r="C27" s="18">
        <v>5446.2</v>
      </c>
      <c r="D27" s="19">
        <v>1.33</v>
      </c>
      <c r="E27" s="19">
        <v>2.68</v>
      </c>
    </row>
    <row r="28" spans="1:6" ht="16.5" customHeight="1" x14ac:dyDescent="0.3">
      <c r="A28" s="17">
        <v>5</v>
      </c>
      <c r="B28" s="18">
        <v>20152093</v>
      </c>
      <c r="C28" s="18">
        <v>5496.99</v>
      </c>
      <c r="D28" s="19">
        <v>1.39</v>
      </c>
      <c r="E28" s="19">
        <v>2.68</v>
      </c>
    </row>
    <row r="29" spans="1:6" ht="16.5" customHeight="1" x14ac:dyDescent="0.3">
      <c r="A29" s="17">
        <v>6</v>
      </c>
      <c r="B29" s="21">
        <v>20304051</v>
      </c>
      <c r="C29" s="21">
        <v>5463.47</v>
      </c>
      <c r="D29" s="22">
        <v>1.32</v>
      </c>
      <c r="E29" s="22">
        <v>2.69</v>
      </c>
    </row>
    <row r="30" spans="1:6" ht="16.5" customHeight="1" x14ac:dyDescent="0.3">
      <c r="A30" s="23" t="s">
        <v>18</v>
      </c>
      <c r="B30" s="24">
        <f>AVERAGE(B24:B29)</f>
        <v>20229354.833333332</v>
      </c>
      <c r="C30" s="25">
        <f>AVERAGE(C24:C29)</f>
        <v>5471.545000000001</v>
      </c>
      <c r="D30" s="26">
        <f>AVERAGE(D24:D29)</f>
        <v>1.3583333333333334</v>
      </c>
      <c r="E30" s="26">
        <f>AVERAGE(E24:E29)</f>
        <v>2.6816666666666666</v>
      </c>
    </row>
    <row r="31" spans="1:6" ht="16.5" customHeight="1" x14ac:dyDescent="0.3">
      <c r="A31" s="27" t="s">
        <v>19</v>
      </c>
      <c r="B31" s="28">
        <f>(STDEV(B24:B29)/B30)</f>
        <v>2.5634082837727025E-3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126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12" t="s">
        <v>9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99.86</v>
      </c>
      <c r="C40" s="10"/>
      <c r="D40" s="10"/>
      <c r="E40" s="10"/>
    </row>
    <row r="41" spans="1:6" ht="16.5" customHeight="1" x14ac:dyDescent="0.3">
      <c r="A41" s="7" t="s">
        <v>8</v>
      </c>
      <c r="B41" s="12">
        <v>25</v>
      </c>
      <c r="C41" s="10"/>
      <c r="D41" s="10"/>
      <c r="E41" s="10"/>
    </row>
    <row r="42" spans="1:6" ht="16.5" customHeight="1" x14ac:dyDescent="0.3">
      <c r="A42" s="7" t="s">
        <v>10</v>
      </c>
      <c r="B42" s="12">
        <v>2.5000000000000001E-2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9614445</v>
      </c>
      <c r="C45" s="18">
        <v>7444.3</v>
      </c>
      <c r="D45" s="19">
        <v>1.4</v>
      </c>
      <c r="E45" s="20">
        <v>4.9000000000000004</v>
      </c>
    </row>
    <row r="46" spans="1:6" ht="16.5" customHeight="1" x14ac:dyDescent="0.3">
      <c r="A46" s="17">
        <v>2</v>
      </c>
      <c r="B46" s="18">
        <v>9553615</v>
      </c>
      <c r="C46" s="18">
        <v>7452.3</v>
      </c>
      <c r="D46" s="19">
        <v>1.3</v>
      </c>
      <c r="E46" s="19">
        <v>4.9000000000000004</v>
      </c>
    </row>
    <row r="47" spans="1:6" ht="16.5" customHeight="1" x14ac:dyDescent="0.3">
      <c r="A47" s="17">
        <v>3</v>
      </c>
      <c r="B47" s="18">
        <v>9621428</v>
      </c>
      <c r="C47" s="18">
        <v>7419.3</v>
      </c>
      <c r="D47" s="19">
        <v>1.4</v>
      </c>
      <c r="E47" s="19">
        <v>4.9000000000000004</v>
      </c>
    </row>
    <row r="48" spans="1:6" ht="16.5" customHeight="1" x14ac:dyDescent="0.3">
      <c r="A48" s="17">
        <v>4</v>
      </c>
      <c r="B48" s="18">
        <v>9611760</v>
      </c>
      <c r="C48" s="18">
        <v>7422.8</v>
      </c>
      <c r="D48" s="19">
        <v>1.4</v>
      </c>
      <c r="E48" s="19">
        <v>4.9000000000000004</v>
      </c>
    </row>
    <row r="49" spans="1:7" ht="16.5" customHeight="1" x14ac:dyDescent="0.3">
      <c r="A49" s="17">
        <v>5</v>
      </c>
      <c r="B49" s="18">
        <v>9623489</v>
      </c>
      <c r="C49" s="18">
        <v>7430.5</v>
      </c>
      <c r="D49" s="19">
        <v>1.3</v>
      </c>
      <c r="E49" s="19">
        <v>4.9000000000000004</v>
      </c>
    </row>
    <row r="50" spans="1:7" ht="16.5" customHeight="1" x14ac:dyDescent="0.3">
      <c r="A50" s="17">
        <v>6</v>
      </c>
      <c r="B50" s="21">
        <v>9578100</v>
      </c>
      <c r="C50" s="21">
        <v>7407.8</v>
      </c>
      <c r="D50" s="22">
        <v>1.3</v>
      </c>
      <c r="E50" s="22">
        <v>4.9000000000000004</v>
      </c>
    </row>
    <row r="51" spans="1:7" ht="16.5" customHeight="1" x14ac:dyDescent="0.3">
      <c r="A51" s="23" t="s">
        <v>18</v>
      </c>
      <c r="B51" s="24">
        <f>AVERAGE(B45:B50)</f>
        <v>9600472.833333334</v>
      </c>
      <c r="C51" s="25">
        <f>AVERAGE(C45:C50)</f>
        <v>7429.5</v>
      </c>
      <c r="D51" s="26">
        <f>AVERAGE(D45:D50)</f>
        <v>1.3499999999999999</v>
      </c>
      <c r="E51" s="26">
        <f>AVERAGE(E45:E50)</f>
        <v>4.8999999999999995</v>
      </c>
    </row>
    <row r="52" spans="1:7" ht="16.5" customHeight="1" x14ac:dyDescent="0.3">
      <c r="A52" s="27" t="s">
        <v>19</v>
      </c>
      <c r="B52" s="28">
        <f>(STDEV(B45:B50)/B51)</f>
        <v>2.9415943471157815E-3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126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25</v>
      </c>
      <c r="C59" s="28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9" t="s">
        <v>125</v>
      </c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F23" sqref="F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30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31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32</v>
      </c>
      <c r="B14" s="291"/>
      <c r="C14" s="60" t="s">
        <v>5</v>
      </c>
    </row>
    <row r="15" spans="1:7" ht="16.5" customHeight="1" x14ac:dyDescent="0.3">
      <c r="A15" s="291" t="s">
        <v>33</v>
      </c>
      <c r="B15" s="291"/>
      <c r="C15" s="60" t="s">
        <v>7</v>
      </c>
    </row>
    <row r="16" spans="1:7" ht="16.5" customHeight="1" x14ac:dyDescent="0.3">
      <c r="A16" s="291" t="s">
        <v>34</v>
      </c>
      <c r="B16" s="291"/>
      <c r="C16" s="60" t="s">
        <v>9</v>
      </c>
    </row>
    <row r="17" spans="1:5" ht="16.5" customHeight="1" x14ac:dyDescent="0.3">
      <c r="A17" s="291" t="s">
        <v>35</v>
      </c>
      <c r="B17" s="291"/>
      <c r="C17" s="60" t="s">
        <v>11</v>
      </c>
    </row>
    <row r="18" spans="1:5" ht="16.5" customHeight="1" x14ac:dyDescent="0.3">
      <c r="A18" s="291" t="s">
        <v>36</v>
      </c>
      <c r="B18" s="291"/>
      <c r="C18" s="97" t="s">
        <v>12</v>
      </c>
    </row>
    <row r="19" spans="1:5" ht="16.5" customHeight="1" x14ac:dyDescent="0.3">
      <c r="A19" s="291" t="s">
        <v>37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38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312.17</v>
      </c>
      <c r="D24" s="87">
        <f t="shared" ref="D24:D43" si="0">(C24-$C$46)/$C$46</f>
        <v>1.4500285514473181E-3</v>
      </c>
      <c r="E24" s="53"/>
    </row>
    <row r="25" spans="1:5" ht="15.75" customHeight="1" x14ac:dyDescent="0.3">
      <c r="C25" s="95">
        <v>311.67</v>
      </c>
      <c r="D25" s="88">
        <f t="shared" si="0"/>
        <v>-1.5398533289686506E-4</v>
      </c>
      <c r="E25" s="53"/>
    </row>
    <row r="26" spans="1:5" ht="15.75" customHeight="1" x14ac:dyDescent="0.3">
      <c r="C26" s="95">
        <v>314.26</v>
      </c>
      <c r="D26" s="88">
        <f t="shared" si="0"/>
        <v>8.1548065880059223E-3</v>
      </c>
      <c r="E26" s="53"/>
    </row>
    <row r="27" spans="1:5" ht="15.75" customHeight="1" x14ac:dyDescent="0.3">
      <c r="C27" s="95">
        <v>306.89</v>
      </c>
      <c r="D27" s="88">
        <f t="shared" si="0"/>
        <v>-1.5488358067227349E-2</v>
      </c>
      <c r="E27" s="53"/>
    </row>
    <row r="28" spans="1:5" ht="15.75" customHeight="1" x14ac:dyDescent="0.3">
      <c r="C28" s="95">
        <v>315.95</v>
      </c>
      <c r="D28" s="88">
        <f t="shared" si="0"/>
        <v>1.3576373517089254E-2</v>
      </c>
      <c r="E28" s="53"/>
    </row>
    <row r="29" spans="1:5" ht="15.75" customHeight="1" x14ac:dyDescent="0.3">
      <c r="C29" s="95">
        <v>309.20999999999998</v>
      </c>
      <c r="D29" s="88">
        <f t="shared" si="0"/>
        <v>-8.0457336438703626E-3</v>
      </c>
      <c r="E29" s="53"/>
    </row>
    <row r="30" spans="1:5" ht="15.75" customHeight="1" x14ac:dyDescent="0.3">
      <c r="C30" s="95">
        <v>310.79000000000002</v>
      </c>
      <c r="D30" s="88">
        <f t="shared" si="0"/>
        <v>-2.9770497693426129E-3</v>
      </c>
      <c r="E30" s="53"/>
    </row>
    <row r="31" spans="1:5" ht="15.75" customHeight="1" x14ac:dyDescent="0.3">
      <c r="C31" s="95">
        <v>305.48</v>
      </c>
      <c r="D31" s="88">
        <f t="shared" si="0"/>
        <v>-2.0011677221077846E-2</v>
      </c>
      <c r="E31" s="53"/>
    </row>
    <row r="32" spans="1:5" ht="15.75" customHeight="1" x14ac:dyDescent="0.3">
      <c r="C32" s="95">
        <v>316.02</v>
      </c>
      <c r="D32" s="88">
        <f t="shared" si="0"/>
        <v>1.3800935460897418E-2</v>
      </c>
      <c r="E32" s="53"/>
    </row>
    <row r="33" spans="1:7" ht="15.75" customHeight="1" x14ac:dyDescent="0.3">
      <c r="C33" s="95">
        <v>312.54000000000002</v>
      </c>
      <c r="D33" s="88">
        <f t="shared" si="0"/>
        <v>2.6369988258620283E-3</v>
      </c>
      <c r="E33" s="53"/>
    </row>
    <row r="34" spans="1:7" ht="15.75" customHeight="1" x14ac:dyDescent="0.3">
      <c r="C34" s="95">
        <v>310.70999999999998</v>
      </c>
      <c r="D34" s="88">
        <f t="shared" si="0"/>
        <v>-3.2336919908378132E-3</v>
      </c>
      <c r="E34" s="53"/>
    </row>
    <row r="35" spans="1:7" ht="15.75" customHeight="1" x14ac:dyDescent="0.3">
      <c r="C35" s="95">
        <v>313.3</v>
      </c>
      <c r="D35" s="88">
        <f t="shared" si="0"/>
        <v>5.0750999300651573E-3</v>
      </c>
      <c r="E35" s="53"/>
    </row>
    <row r="36" spans="1:7" ht="15.75" customHeight="1" x14ac:dyDescent="0.3">
      <c r="C36" s="95">
        <v>314.76</v>
      </c>
      <c r="D36" s="88">
        <f t="shared" si="0"/>
        <v>9.7588204723501066E-3</v>
      </c>
      <c r="E36" s="53"/>
    </row>
    <row r="37" spans="1:7" ht="15.75" customHeight="1" x14ac:dyDescent="0.3">
      <c r="C37" s="95">
        <v>311.82</v>
      </c>
      <c r="D37" s="88">
        <f t="shared" si="0"/>
        <v>3.2721883240631694E-4</v>
      </c>
      <c r="E37" s="53"/>
    </row>
    <row r="38" spans="1:7" ht="15.75" customHeight="1" x14ac:dyDescent="0.3">
      <c r="C38" s="95">
        <v>309.91000000000003</v>
      </c>
      <c r="D38" s="88">
        <f t="shared" si="0"/>
        <v>-5.8001142057883606E-3</v>
      </c>
      <c r="E38" s="53"/>
    </row>
    <row r="39" spans="1:7" ht="15.75" customHeight="1" x14ac:dyDescent="0.3">
      <c r="C39" s="95">
        <v>310.57</v>
      </c>
      <c r="D39" s="88">
        <f t="shared" si="0"/>
        <v>-3.6828158784541409E-3</v>
      </c>
      <c r="E39" s="53"/>
    </row>
    <row r="40" spans="1:7" ht="15.75" customHeight="1" x14ac:dyDescent="0.3">
      <c r="C40" s="95">
        <v>311.2</v>
      </c>
      <c r="D40" s="88">
        <f t="shared" si="0"/>
        <v>-1.6617583841804847E-3</v>
      </c>
      <c r="E40" s="53"/>
    </row>
    <row r="41" spans="1:7" ht="15.75" customHeight="1" x14ac:dyDescent="0.3">
      <c r="C41" s="95">
        <v>313.02999999999997</v>
      </c>
      <c r="D41" s="88">
        <f t="shared" si="0"/>
        <v>4.2089324325191744E-3</v>
      </c>
      <c r="E41" s="53"/>
    </row>
    <row r="42" spans="1:7" ht="15.75" customHeight="1" x14ac:dyDescent="0.3">
      <c r="C42" s="95">
        <v>310.02999999999997</v>
      </c>
      <c r="D42" s="88">
        <f t="shared" si="0"/>
        <v>-5.4151508735459245E-3</v>
      </c>
      <c r="E42" s="53"/>
    </row>
    <row r="43" spans="1:7" ht="16.5" customHeight="1" x14ac:dyDescent="0.3">
      <c r="C43" s="96">
        <v>314.05</v>
      </c>
      <c r="D43" s="89">
        <f t="shared" si="0"/>
        <v>7.481120756581432E-3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6234.3599999999988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311.71799999999996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284">
        <f>C46</f>
        <v>311.71799999999996</v>
      </c>
      <c r="C49" s="93">
        <f>-IF(C46&lt;=80,10%,IF(C46&lt;250,7.5%,5%))</f>
        <v>-0.05</v>
      </c>
      <c r="D49" s="81">
        <f>IF(C46&lt;=80,C46*0.9,IF(C46&lt;250,C46*0.925,C46*0.95))</f>
        <v>296.13209999999992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327.3039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2" zoomScale="60" zoomScaleNormal="40" zoomScalePageLayoutView="55" workbookViewId="0">
      <selection activeCell="C42" sqref="C4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44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45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30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46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32</v>
      </c>
      <c r="B18" s="297" t="s">
        <v>5</v>
      </c>
      <c r="C18" s="297"/>
      <c r="D18" s="267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292" t="s">
        <v>9</v>
      </c>
      <c r="C20" s="292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292" t="s">
        <v>11</v>
      </c>
      <c r="C21" s="292"/>
      <c r="D21" s="292"/>
      <c r="E21" s="292"/>
      <c r="F21" s="292"/>
      <c r="G21" s="292"/>
      <c r="H21" s="292"/>
      <c r="I21" s="104"/>
    </row>
    <row r="22" spans="1:14" ht="26.25" customHeight="1" x14ac:dyDescent="0.4">
      <c r="A22" s="100" t="s">
        <v>36</v>
      </c>
      <c r="B22" s="105">
        <v>42453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>
        <v>42453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2" t="s">
        <v>9</v>
      </c>
      <c r="C26" s="292"/>
    </row>
    <row r="27" spans="1:14" ht="26.25" customHeight="1" x14ac:dyDescent="0.4">
      <c r="A27" s="109" t="s">
        <v>47</v>
      </c>
      <c r="B27" s="298" t="s">
        <v>124</v>
      </c>
      <c r="C27" s="298"/>
    </row>
    <row r="28" spans="1:14" ht="27" customHeight="1" x14ac:dyDescent="0.4">
      <c r="A28" s="109" t="s">
        <v>6</v>
      </c>
      <c r="B28" s="110">
        <v>99.86</v>
      </c>
    </row>
    <row r="29" spans="1:14" s="14" customFormat="1" ht="27" customHeight="1" x14ac:dyDescent="0.4">
      <c r="A29" s="109" t="s">
        <v>48</v>
      </c>
      <c r="B29" s="111">
        <v>0</v>
      </c>
      <c r="C29" s="299" t="s">
        <v>49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99.86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302" t="s">
        <v>52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302" t="s">
        <v>54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20</v>
      </c>
      <c r="C36" s="99"/>
      <c r="D36" s="305" t="s">
        <v>58</v>
      </c>
      <c r="E36" s="306"/>
      <c r="F36" s="305" t="s">
        <v>59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5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25</v>
      </c>
      <c r="C38" s="131">
        <v>1</v>
      </c>
      <c r="D38" s="132">
        <v>20279645</v>
      </c>
      <c r="E38" s="133">
        <f>IF(ISBLANK(D38),"-",$D$48/$D$45*D38)</f>
        <v>20011900.184104808</v>
      </c>
      <c r="F38" s="132">
        <v>19420553</v>
      </c>
      <c r="G38" s="134">
        <f>IF(ISBLANK(F38),"-",$D$48/$F$45*F38)</f>
        <v>19731919.533125598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6">
        <v>2</v>
      </c>
      <c r="D39" s="137">
        <v>20148750</v>
      </c>
      <c r="E39" s="138">
        <f>IF(ISBLANK(D39),"-",$D$48/$D$45*D39)</f>
        <v>19882733.343432873</v>
      </c>
      <c r="F39" s="137">
        <v>19408798</v>
      </c>
      <c r="G39" s="139">
        <f>IF(ISBLANK(F39),"-",$D$48/$F$45*F39)</f>
        <v>19719976.067143355</v>
      </c>
      <c r="I39" s="309">
        <f>ABS((F43/D43*D42)-F42)/D42</f>
        <v>1.2241387483367071E-2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6">
        <v>3</v>
      </c>
      <c r="D40" s="137">
        <v>20186840</v>
      </c>
      <c r="E40" s="138">
        <f>IF(ISBLANK(D40),"-",$D$48/$D$45*D40)</f>
        <v>19920320.454943582</v>
      </c>
      <c r="F40" s="137">
        <v>19299718</v>
      </c>
      <c r="G40" s="139">
        <f>IF(ISBLANK(F40),"-",$D$48/$F$45*F40)</f>
        <v>19609147.205438264</v>
      </c>
      <c r="I40" s="309"/>
      <c r="L40" s="117"/>
      <c r="M40" s="117"/>
      <c r="N40" s="140"/>
    </row>
    <row r="41" spans="1:14" ht="27" customHeight="1" x14ac:dyDescent="0.4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69</v>
      </c>
      <c r="B42" s="125">
        <v>1</v>
      </c>
      <c r="C42" s="146" t="s">
        <v>70</v>
      </c>
      <c r="D42" s="147">
        <f>AVERAGE(D38:D41)</f>
        <v>20205078.333333332</v>
      </c>
      <c r="E42" s="148">
        <f>AVERAGE(E38:E41)</f>
        <v>19938317.994160421</v>
      </c>
      <c r="F42" s="147">
        <f>AVERAGE(F38:F41)</f>
        <v>19376356.333333332</v>
      </c>
      <c r="G42" s="149">
        <f>AVERAGE(G38:G41)</f>
        <v>19687014.268569071</v>
      </c>
      <c r="H42" s="150"/>
    </row>
    <row r="43" spans="1:14" ht="26.25" customHeight="1" x14ac:dyDescent="0.4">
      <c r="A43" s="124" t="s">
        <v>71</v>
      </c>
      <c r="B43" s="125">
        <v>1</v>
      </c>
      <c r="C43" s="151" t="s">
        <v>72</v>
      </c>
      <c r="D43" s="152">
        <v>25.37</v>
      </c>
      <c r="E43" s="140"/>
      <c r="F43" s="152">
        <v>24.64</v>
      </c>
      <c r="H43" s="150"/>
    </row>
    <row r="44" spans="1:14" ht="26.25" customHeight="1" x14ac:dyDescent="0.4">
      <c r="A44" s="124" t="s">
        <v>73</v>
      </c>
      <c r="B44" s="125">
        <v>1</v>
      </c>
      <c r="C44" s="153" t="s">
        <v>74</v>
      </c>
      <c r="D44" s="154">
        <f>D43*$B$34</f>
        <v>25.37</v>
      </c>
      <c r="E44" s="155"/>
      <c r="F44" s="154">
        <f>F43*$B$34</f>
        <v>24.64</v>
      </c>
      <c r="H44" s="150"/>
    </row>
    <row r="45" spans="1:14" ht="19.5" customHeight="1" x14ac:dyDescent="0.3">
      <c r="A45" s="124" t="s">
        <v>75</v>
      </c>
      <c r="B45" s="156">
        <f>(B44/B43)*(B42/B41)*(B40/B39)*(B38/B37)*B36</f>
        <v>100</v>
      </c>
      <c r="C45" s="153" t="s">
        <v>76</v>
      </c>
      <c r="D45" s="157">
        <f>D44*$B$30/100</f>
        <v>25.334482000000001</v>
      </c>
      <c r="E45" s="158"/>
      <c r="F45" s="157">
        <f>F44*$B$30/100</f>
        <v>24.605504</v>
      </c>
      <c r="H45" s="150"/>
    </row>
    <row r="46" spans="1:14" ht="19.5" customHeight="1" x14ac:dyDescent="0.3">
      <c r="A46" s="310" t="s">
        <v>77</v>
      </c>
      <c r="B46" s="311"/>
      <c r="C46" s="153" t="s">
        <v>78</v>
      </c>
      <c r="D46" s="159">
        <f>D45/$B$45</f>
        <v>0.25334482000000003</v>
      </c>
      <c r="E46" s="160"/>
      <c r="F46" s="161">
        <f>F45/$B$45</f>
        <v>0.24605504</v>
      </c>
      <c r="H46" s="150"/>
    </row>
    <row r="47" spans="1:14" ht="27" customHeight="1" x14ac:dyDescent="0.4">
      <c r="A47" s="312"/>
      <c r="B47" s="313"/>
      <c r="C47" s="162" t="s">
        <v>79</v>
      </c>
      <c r="D47" s="163">
        <v>0.25</v>
      </c>
      <c r="E47" s="164"/>
      <c r="F47" s="160"/>
      <c r="H47" s="150"/>
    </row>
    <row r="48" spans="1:14" ht="18.75" x14ac:dyDescent="0.3">
      <c r="C48" s="165" t="s">
        <v>80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81</v>
      </c>
      <c r="D49" s="168">
        <f>D48/B34</f>
        <v>25</v>
      </c>
      <c r="F49" s="166"/>
      <c r="H49" s="150"/>
    </row>
    <row r="50" spans="1:12" ht="18.75" x14ac:dyDescent="0.3">
      <c r="C50" s="122" t="s">
        <v>82</v>
      </c>
      <c r="D50" s="169">
        <f>AVERAGE(E38:E41,G38:G41)</f>
        <v>19812666.131364748</v>
      </c>
      <c r="F50" s="170"/>
      <c r="H50" s="150"/>
    </row>
    <row r="51" spans="1:12" ht="18.75" x14ac:dyDescent="0.3">
      <c r="C51" s="124" t="s">
        <v>83</v>
      </c>
      <c r="D51" s="171">
        <f>STDEV(E38:E41,G38:G41)/D50</f>
        <v>7.5784644137668663E-3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84</v>
      </c>
    </row>
    <row r="55" spans="1:12" ht="18.75" x14ac:dyDescent="0.3">
      <c r="A55" s="99" t="s">
        <v>85</v>
      </c>
      <c r="B55" s="176" t="str">
        <f>B21</f>
        <v>Each film coated tablet contains: Eplerenone 50mg</v>
      </c>
    </row>
    <row r="56" spans="1:12" ht="26.25" customHeight="1" x14ac:dyDescent="0.4">
      <c r="A56" s="177" t="s">
        <v>86</v>
      </c>
      <c r="B56" s="178">
        <v>50</v>
      </c>
      <c r="C56" s="99" t="str">
        <f>B20</f>
        <v>EPLERENONE</v>
      </c>
      <c r="H56" s="179"/>
    </row>
    <row r="57" spans="1:12" ht="18.75" x14ac:dyDescent="0.3">
      <c r="A57" s="176" t="s">
        <v>87</v>
      </c>
      <c r="B57" s="268">
        <f>Uniformity!C46</f>
        <v>311.71799999999996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1</v>
      </c>
      <c r="C60" s="314" t="s">
        <v>93</v>
      </c>
      <c r="D60" s="317">
        <v>155.74</v>
      </c>
      <c r="E60" s="182">
        <v>1</v>
      </c>
      <c r="F60" s="183">
        <v>18294871</v>
      </c>
      <c r="G60" s="269">
        <f>IF(ISBLANK(F60),"-",(F60/$D$50*$D$47*$B$68)*($B$57/$D$60))</f>
        <v>46.204912251131738</v>
      </c>
      <c r="H60" s="184">
        <f t="shared" ref="H60:H71" si="0">IF(ISBLANK(F60),"-",G60/$B$56)</f>
        <v>0.92409824502263471</v>
      </c>
      <c r="L60" s="112"/>
    </row>
    <row r="61" spans="1:12" s="14" customFormat="1" ht="26.25" customHeight="1" x14ac:dyDescent="0.4">
      <c r="A61" s="124" t="s">
        <v>94</v>
      </c>
      <c r="B61" s="125">
        <v>1</v>
      </c>
      <c r="C61" s="315"/>
      <c r="D61" s="318"/>
      <c r="E61" s="185">
        <v>2</v>
      </c>
      <c r="F61" s="137">
        <v>18426057</v>
      </c>
      <c r="G61" s="270">
        <f>IF(ISBLANK(F61),"-",(F61/$D$50*$D$47*$B$68)*($B$57/$D$60))</f>
        <v>46.536231210340418</v>
      </c>
      <c r="H61" s="186">
        <f t="shared" si="0"/>
        <v>0.93072462420680835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315"/>
      <c r="D62" s="318"/>
      <c r="E62" s="185">
        <v>3</v>
      </c>
      <c r="F62" s="187">
        <v>18323674</v>
      </c>
      <c r="G62" s="270">
        <f>IF(ISBLANK(F62),"-",(F62/$D$50*$D$47*$B$68)*($B$57/$D$60))</f>
        <v>46.277656141349354</v>
      </c>
      <c r="H62" s="186">
        <f t="shared" si="0"/>
        <v>0.9255531228269871</v>
      </c>
      <c r="L62" s="112"/>
    </row>
    <row r="63" spans="1:12" ht="27" customHeight="1" x14ac:dyDescent="0.4">
      <c r="A63" s="124" t="s">
        <v>96</v>
      </c>
      <c r="B63" s="125">
        <v>1</v>
      </c>
      <c r="C63" s="316"/>
      <c r="D63" s="319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314" t="s">
        <v>98</v>
      </c>
      <c r="D64" s="317">
        <v>154.85</v>
      </c>
      <c r="E64" s="182">
        <v>1</v>
      </c>
      <c r="F64" s="183">
        <v>17979511</v>
      </c>
      <c r="G64" s="271">
        <f>IF(ISBLANK(F64),"-",(F64/$D$50*$D$47*$B$68)*($B$57/$D$64))</f>
        <v>45.669434572321016</v>
      </c>
      <c r="H64" s="190">
        <f t="shared" si="0"/>
        <v>0.91338869144642032</v>
      </c>
    </row>
    <row r="65" spans="1:8" ht="26.25" customHeight="1" x14ac:dyDescent="0.4">
      <c r="A65" s="124" t="s">
        <v>99</v>
      </c>
      <c r="B65" s="125">
        <v>1</v>
      </c>
      <c r="C65" s="315"/>
      <c r="D65" s="318"/>
      <c r="E65" s="185">
        <v>2</v>
      </c>
      <c r="F65" s="137">
        <v>17829897</v>
      </c>
      <c r="G65" s="272">
        <f>IF(ISBLANK(F65),"-",(F65/$D$50*$D$47*$B$68)*($B$57/$D$64))</f>
        <v>45.289402724730543</v>
      </c>
      <c r="H65" s="191">
        <f t="shared" si="0"/>
        <v>0.90578805449461086</v>
      </c>
    </row>
    <row r="66" spans="1:8" ht="26.25" customHeight="1" x14ac:dyDescent="0.4">
      <c r="A66" s="124" t="s">
        <v>100</v>
      </c>
      <c r="B66" s="125">
        <v>1</v>
      </c>
      <c r="C66" s="315"/>
      <c r="D66" s="318"/>
      <c r="E66" s="185">
        <v>3</v>
      </c>
      <c r="F66" s="137">
        <v>17900147</v>
      </c>
      <c r="G66" s="272">
        <f>IF(ISBLANK(F66),"-",(F66/$D$50*$D$47*$B$68)*($B$57/$D$64))</f>
        <v>45.467843494265679</v>
      </c>
      <c r="H66" s="191">
        <f t="shared" si="0"/>
        <v>0.90935686988531361</v>
      </c>
    </row>
    <row r="67" spans="1:8" ht="27" customHeight="1" x14ac:dyDescent="0.4">
      <c r="A67" s="124" t="s">
        <v>101</v>
      </c>
      <c r="B67" s="125">
        <v>1</v>
      </c>
      <c r="C67" s="316"/>
      <c r="D67" s="319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102</v>
      </c>
      <c r="B68" s="193">
        <f>(B67/B66)*(B65/B64)*(B63/B62)*(B61/B60)*B59</f>
        <v>100</v>
      </c>
      <c r="C68" s="314" t="s">
        <v>103</v>
      </c>
      <c r="D68" s="317">
        <v>156.41</v>
      </c>
      <c r="E68" s="182">
        <v>1</v>
      </c>
      <c r="F68" s="183">
        <v>18391672</v>
      </c>
      <c r="G68" s="271">
        <f>IF(ISBLANK(F68),"-",(F68/$D$50*$D$47*$B$68)*($B$57/$D$68))</f>
        <v>46.250418372151358</v>
      </c>
      <c r="H68" s="186">
        <f t="shared" si="0"/>
        <v>0.92500836744302717</v>
      </c>
    </row>
    <row r="69" spans="1:8" ht="27" customHeight="1" x14ac:dyDescent="0.4">
      <c r="A69" s="172" t="s">
        <v>104</v>
      </c>
      <c r="B69" s="194">
        <f>(D47*B68)/B56*B57</f>
        <v>155.85899999999998</v>
      </c>
      <c r="C69" s="315"/>
      <c r="D69" s="318"/>
      <c r="E69" s="185">
        <v>2</v>
      </c>
      <c r="F69" s="137">
        <v>18290163</v>
      </c>
      <c r="G69" s="272">
        <f>IF(ISBLANK(F69),"-",(F69/$D$50*$D$47*$B$68)*($B$57/$D$68))</f>
        <v>45.995148828493839</v>
      </c>
      <c r="H69" s="186">
        <f t="shared" si="0"/>
        <v>0.91990297656987674</v>
      </c>
    </row>
    <row r="70" spans="1:8" ht="26.25" customHeight="1" x14ac:dyDescent="0.4">
      <c r="A70" s="327" t="s">
        <v>77</v>
      </c>
      <c r="B70" s="328"/>
      <c r="C70" s="315"/>
      <c r="D70" s="318"/>
      <c r="E70" s="185">
        <v>3</v>
      </c>
      <c r="F70" s="137">
        <v>18381287</v>
      </c>
      <c r="G70" s="272">
        <f>IF(ISBLANK(F70),"-",(F70/$D$50*$D$47*$B$68)*($B$57/$D$68))</f>
        <v>46.224302715304347</v>
      </c>
      <c r="H70" s="186">
        <f t="shared" si="0"/>
        <v>0.92448605430608699</v>
      </c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70</v>
      </c>
      <c r="G72" s="278">
        <f>AVERAGE(G60:G71)</f>
        <v>45.990594478898693</v>
      </c>
      <c r="H72" s="199">
        <f>AVERAGE(H60:H71)</f>
        <v>0.919811889577974</v>
      </c>
    </row>
    <row r="73" spans="1:8" ht="26.25" customHeight="1" x14ac:dyDescent="0.4">
      <c r="C73" s="196"/>
      <c r="D73" s="196"/>
      <c r="E73" s="196"/>
      <c r="F73" s="200" t="s">
        <v>83</v>
      </c>
      <c r="G73" s="274">
        <f>STDEV(G60:G71)/G72</f>
        <v>9.1487464768310531E-3</v>
      </c>
      <c r="H73" s="274">
        <f>STDEV(H60:H71)/H72</f>
        <v>9.1487464768310479E-3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105</v>
      </c>
      <c r="B76" s="204" t="s">
        <v>106</v>
      </c>
      <c r="C76" s="322" t="str">
        <f>B20</f>
        <v>EPLERENONE</v>
      </c>
      <c r="D76" s="322"/>
      <c r="E76" s="205" t="s">
        <v>107</v>
      </c>
      <c r="F76" s="205"/>
      <c r="G76" s="206">
        <f>H72</f>
        <v>0.919811889577974</v>
      </c>
      <c r="H76" s="207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292" t="s">
        <v>9</v>
      </c>
      <c r="C79" s="292"/>
    </row>
    <row r="80" spans="1:8" ht="26.25" customHeight="1" x14ac:dyDescent="0.4">
      <c r="A80" s="109" t="s">
        <v>47</v>
      </c>
      <c r="B80" s="308" t="s">
        <v>124</v>
      </c>
      <c r="C80" s="308"/>
    </row>
    <row r="81" spans="1:12" ht="27" customHeight="1" x14ac:dyDescent="0.4">
      <c r="A81" s="109" t="s">
        <v>6</v>
      </c>
      <c r="B81" s="208">
        <v>99.86</v>
      </c>
    </row>
    <row r="82" spans="1:12" s="14" customFormat="1" ht="27" customHeight="1" x14ac:dyDescent="0.4">
      <c r="A82" s="109" t="s">
        <v>48</v>
      </c>
      <c r="B82" s="111">
        <v>0</v>
      </c>
      <c r="C82" s="299" t="s">
        <v>49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99.86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302" t="s">
        <v>110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302" t="s">
        <v>111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20</v>
      </c>
      <c r="D89" s="209" t="s">
        <v>58</v>
      </c>
      <c r="E89" s="210"/>
      <c r="F89" s="305" t="s">
        <v>59</v>
      </c>
      <c r="G89" s="307"/>
    </row>
    <row r="90" spans="1:12" ht="27" customHeight="1" x14ac:dyDescent="0.4">
      <c r="A90" s="124" t="s">
        <v>60</v>
      </c>
      <c r="B90" s="125">
        <v>1</v>
      </c>
      <c r="C90" s="211" t="s">
        <v>61</v>
      </c>
      <c r="D90" s="127" t="s">
        <v>62</v>
      </c>
      <c r="E90" s="128" t="s">
        <v>63</v>
      </c>
      <c r="F90" s="127" t="s">
        <v>62</v>
      </c>
      <c r="G90" s="212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50</v>
      </c>
      <c r="C91" s="213">
        <v>1</v>
      </c>
      <c r="D91" s="132">
        <v>9505413</v>
      </c>
      <c r="E91" s="133">
        <f>IF(ISBLANK(D91),"-",$D$101/$D$98*D91)</f>
        <v>9752806.5931648575</v>
      </c>
      <c r="F91" s="132">
        <v>9711468</v>
      </c>
      <c r="G91" s="134">
        <f>IF(ISBLANK(F91),"-",$D$101/$F$98*F91)</f>
        <v>9556881.9932811595</v>
      </c>
      <c r="I91" s="135"/>
    </row>
    <row r="92" spans="1:12" ht="26.25" customHeight="1" x14ac:dyDescent="0.4">
      <c r="A92" s="124" t="s">
        <v>66</v>
      </c>
      <c r="B92" s="125">
        <v>1</v>
      </c>
      <c r="C92" s="197">
        <v>2</v>
      </c>
      <c r="D92" s="137">
        <v>9546358</v>
      </c>
      <c r="E92" s="138">
        <f>IF(ISBLANK(D92),"-",$D$101/$D$98*D92)</f>
        <v>9794817.2523500118</v>
      </c>
      <c r="F92" s="137">
        <v>9759988</v>
      </c>
      <c r="G92" s="139">
        <f>IF(ISBLANK(F92),"-",$D$101/$F$98*F92)</f>
        <v>9604629.6576212998</v>
      </c>
      <c r="I92" s="309">
        <f>ABS((F96/D96*D95)-F95)/D95</f>
        <v>2.0665386464500612E-2</v>
      </c>
    </row>
    <row r="93" spans="1:12" ht="26.25" customHeight="1" x14ac:dyDescent="0.4">
      <c r="A93" s="124" t="s">
        <v>67</v>
      </c>
      <c r="B93" s="125">
        <v>1</v>
      </c>
      <c r="C93" s="197">
        <v>3</v>
      </c>
      <c r="D93" s="137">
        <v>9551447</v>
      </c>
      <c r="E93" s="138">
        <f>IF(ISBLANK(D93),"-",$D$101/$D$98*D93)</f>
        <v>9800038.7017233968</v>
      </c>
      <c r="F93" s="137">
        <v>9759819</v>
      </c>
      <c r="G93" s="139">
        <f>IF(ISBLANK(F93),"-",$D$101/$F$98*F93)</f>
        <v>9604463.3477434441</v>
      </c>
      <c r="I93" s="309"/>
    </row>
    <row r="94" spans="1:12" ht="27" customHeight="1" x14ac:dyDescent="0.4">
      <c r="A94" s="124" t="s">
        <v>68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69</v>
      </c>
      <c r="B95" s="125">
        <v>1</v>
      </c>
      <c r="C95" s="216" t="s">
        <v>70</v>
      </c>
      <c r="D95" s="217">
        <f>AVERAGE(D91:D94)</f>
        <v>9534406</v>
      </c>
      <c r="E95" s="148">
        <f>AVERAGE(E91:E94)</f>
        <v>9782554.1824127566</v>
      </c>
      <c r="F95" s="218">
        <f>AVERAGE(F91:F94)</f>
        <v>9743758.333333334</v>
      </c>
      <c r="G95" s="219">
        <f>AVERAGE(G91:G94)</f>
        <v>9588658.3328819666</v>
      </c>
    </row>
    <row r="96" spans="1:12" ht="26.25" customHeight="1" x14ac:dyDescent="0.4">
      <c r="A96" s="124" t="s">
        <v>71</v>
      </c>
      <c r="B96" s="110">
        <v>1</v>
      </c>
      <c r="C96" s="220" t="s">
        <v>112</v>
      </c>
      <c r="D96" s="221">
        <v>24.4</v>
      </c>
      <c r="E96" s="140"/>
      <c r="F96" s="152">
        <v>25.44</v>
      </c>
    </row>
    <row r="97" spans="1:10" ht="26.25" customHeight="1" x14ac:dyDescent="0.4">
      <c r="A97" s="124" t="s">
        <v>73</v>
      </c>
      <c r="B97" s="110">
        <v>1</v>
      </c>
      <c r="C97" s="222" t="s">
        <v>113</v>
      </c>
      <c r="D97" s="223">
        <f>D96*$B$87</f>
        <v>24.4</v>
      </c>
      <c r="E97" s="155"/>
      <c r="F97" s="154">
        <f>F96*$B$87</f>
        <v>25.44</v>
      </c>
    </row>
    <row r="98" spans="1:10" ht="19.5" customHeight="1" x14ac:dyDescent="0.3">
      <c r="A98" s="124" t="s">
        <v>75</v>
      </c>
      <c r="B98" s="224">
        <f>(B97/B96)*(B95/B94)*(B93/B92)*(B91/B90)*B89</f>
        <v>1000</v>
      </c>
      <c r="C98" s="222" t="s">
        <v>114</v>
      </c>
      <c r="D98" s="225">
        <f>D97*$B$83/100</f>
        <v>24.365839999999999</v>
      </c>
      <c r="E98" s="158"/>
      <c r="F98" s="157">
        <f>F97*$B$83/100</f>
        <v>25.404384</v>
      </c>
    </row>
    <row r="99" spans="1:10" ht="19.5" customHeight="1" x14ac:dyDescent="0.3">
      <c r="A99" s="310" t="s">
        <v>77</v>
      </c>
      <c r="B99" s="324"/>
      <c r="C99" s="222" t="s">
        <v>115</v>
      </c>
      <c r="D99" s="226">
        <f>D98/$B$98</f>
        <v>2.436584E-2</v>
      </c>
      <c r="E99" s="158"/>
      <c r="F99" s="161">
        <f>F98/$B$98</f>
        <v>2.5404383999999999E-2</v>
      </c>
      <c r="G99" s="227"/>
      <c r="H99" s="150"/>
    </row>
    <row r="100" spans="1:10" ht="19.5" customHeight="1" x14ac:dyDescent="0.3">
      <c r="A100" s="312"/>
      <c r="B100" s="325"/>
      <c r="C100" s="222" t="s">
        <v>79</v>
      </c>
      <c r="D100" s="228">
        <f>$B$56/$B$116</f>
        <v>2.5000000000000001E-2</v>
      </c>
      <c r="F100" s="166"/>
      <c r="G100" s="229"/>
      <c r="H100" s="150"/>
    </row>
    <row r="101" spans="1:10" ht="18.75" x14ac:dyDescent="0.3">
      <c r="C101" s="222" t="s">
        <v>80</v>
      </c>
      <c r="D101" s="223">
        <f>D100*$B$98</f>
        <v>25</v>
      </c>
      <c r="F101" s="166"/>
      <c r="G101" s="227"/>
      <c r="H101" s="150"/>
    </row>
    <row r="102" spans="1:10" ht="19.5" customHeight="1" x14ac:dyDescent="0.3">
      <c r="C102" s="230" t="s">
        <v>81</v>
      </c>
      <c r="D102" s="231">
        <f>D101/B34</f>
        <v>25</v>
      </c>
      <c r="F102" s="170"/>
      <c r="G102" s="227"/>
      <c r="H102" s="150"/>
      <c r="J102" s="232"/>
    </row>
    <row r="103" spans="1:10" ht="18.75" x14ac:dyDescent="0.3">
      <c r="C103" s="233" t="s">
        <v>116</v>
      </c>
      <c r="D103" s="234">
        <f>AVERAGE(E91:E94,G91:G94)</f>
        <v>9685606.2576473635</v>
      </c>
      <c r="F103" s="170"/>
      <c r="G103" s="235"/>
      <c r="H103" s="150"/>
      <c r="J103" s="236"/>
    </row>
    <row r="104" spans="1:10" ht="18.75" x14ac:dyDescent="0.3">
      <c r="C104" s="200" t="s">
        <v>83</v>
      </c>
      <c r="D104" s="237">
        <f>STDEV(E91:E94,G91:G94)/D103</f>
        <v>1.1239029335381562E-2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117</v>
      </c>
      <c r="B107" s="123">
        <v>1000</v>
      </c>
      <c r="C107" s="239" t="s">
        <v>118</v>
      </c>
      <c r="D107" s="240" t="s">
        <v>62</v>
      </c>
      <c r="E107" s="241" t="s">
        <v>119</v>
      </c>
      <c r="F107" s="242" t="s">
        <v>120</v>
      </c>
    </row>
    <row r="108" spans="1:10" ht="26.25" customHeight="1" x14ac:dyDescent="0.4">
      <c r="A108" s="124" t="s">
        <v>121</v>
      </c>
      <c r="B108" s="125">
        <v>10</v>
      </c>
      <c r="C108" s="243">
        <v>1</v>
      </c>
      <c r="D108" s="244">
        <v>7805387</v>
      </c>
      <c r="E108" s="275">
        <f t="shared" ref="E108:E113" si="1">IF(ISBLANK(D108),"-",D108/$D$103*$D$100*$B$116)</f>
        <v>40.293745132562982</v>
      </c>
      <c r="F108" s="245">
        <f t="shared" ref="F108:F113" si="2">IF(ISBLANK(D108), "-", E108/$B$56)</f>
        <v>0.80587490265125961</v>
      </c>
    </row>
    <row r="109" spans="1:10" ht="26.25" customHeight="1" x14ac:dyDescent="0.4">
      <c r="A109" s="124" t="s">
        <v>94</v>
      </c>
      <c r="B109" s="125">
        <v>20</v>
      </c>
      <c r="C109" s="243">
        <v>2</v>
      </c>
      <c r="D109" s="244">
        <v>8696143</v>
      </c>
      <c r="E109" s="276">
        <f t="shared" si="1"/>
        <v>44.892094354619658</v>
      </c>
      <c r="F109" s="246">
        <f t="shared" si="2"/>
        <v>0.89784188709239321</v>
      </c>
    </row>
    <row r="110" spans="1:10" ht="26.25" customHeight="1" x14ac:dyDescent="0.4">
      <c r="A110" s="124" t="s">
        <v>95</v>
      </c>
      <c r="B110" s="125">
        <v>1</v>
      </c>
      <c r="C110" s="243">
        <v>3</v>
      </c>
      <c r="D110" s="244">
        <v>8968642</v>
      </c>
      <c r="E110" s="276">
        <f t="shared" si="1"/>
        <v>46.298815796474912</v>
      </c>
      <c r="F110" s="246">
        <f t="shared" si="2"/>
        <v>0.92597631592949825</v>
      </c>
    </row>
    <row r="111" spans="1:10" ht="26.25" customHeight="1" x14ac:dyDescent="0.4">
      <c r="A111" s="124" t="s">
        <v>96</v>
      </c>
      <c r="B111" s="125">
        <v>1</v>
      </c>
      <c r="C111" s="243">
        <v>4</v>
      </c>
      <c r="D111" s="244">
        <v>7800178</v>
      </c>
      <c r="E111" s="276">
        <f t="shared" si="1"/>
        <v>40.266854714650904</v>
      </c>
      <c r="F111" s="246">
        <f t="shared" si="2"/>
        <v>0.80533709429301803</v>
      </c>
    </row>
    <row r="112" spans="1:10" ht="26.25" customHeight="1" x14ac:dyDescent="0.4">
      <c r="A112" s="124" t="s">
        <v>97</v>
      </c>
      <c r="B112" s="125">
        <v>1</v>
      </c>
      <c r="C112" s="243">
        <v>5</v>
      </c>
      <c r="D112" s="244">
        <v>7547187</v>
      </c>
      <c r="E112" s="276">
        <f t="shared" si="1"/>
        <v>38.96083941075473</v>
      </c>
      <c r="F112" s="246">
        <f t="shared" si="2"/>
        <v>0.77921678821509455</v>
      </c>
    </row>
    <row r="113" spans="1:10" ht="26.25" customHeight="1" x14ac:dyDescent="0.4">
      <c r="A113" s="124" t="s">
        <v>99</v>
      </c>
      <c r="B113" s="125">
        <v>1</v>
      </c>
      <c r="C113" s="247">
        <v>6</v>
      </c>
      <c r="D113" s="248">
        <v>7731002</v>
      </c>
      <c r="E113" s="277">
        <f t="shared" si="1"/>
        <v>39.909747486874728</v>
      </c>
      <c r="F113" s="249">
        <f t="shared" si="2"/>
        <v>0.79819494973749461</v>
      </c>
    </row>
    <row r="114" spans="1:10" ht="26.25" customHeight="1" x14ac:dyDescent="0.4">
      <c r="A114" s="124" t="s">
        <v>100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101</v>
      </c>
      <c r="B115" s="125">
        <v>1</v>
      </c>
      <c r="C115" s="243"/>
      <c r="D115" s="251" t="s">
        <v>70</v>
      </c>
      <c r="E115" s="279">
        <f>AVERAGE(E108:E113)</f>
        <v>41.770349482656314</v>
      </c>
      <c r="F115" s="252">
        <f>AVERAGE(F108:F113)</f>
        <v>0.83540698965312632</v>
      </c>
    </row>
    <row r="116" spans="1:10" ht="27" customHeight="1" x14ac:dyDescent="0.4">
      <c r="A116" s="124" t="s">
        <v>102</v>
      </c>
      <c r="B116" s="156">
        <f>(B115/B114)*(B113/B112)*(B111/B110)*(B109/B108)*B107</f>
        <v>2000</v>
      </c>
      <c r="C116" s="253"/>
      <c r="D116" s="216" t="s">
        <v>83</v>
      </c>
      <c r="E116" s="254">
        <f>STDEV(E108:E113)/E115</f>
        <v>7.2653055988160395E-2</v>
      </c>
      <c r="F116" s="254">
        <f>STDEV(F108:F113)/F115</f>
        <v>7.2653055988160423E-2</v>
      </c>
      <c r="I116" s="98"/>
    </row>
    <row r="117" spans="1:10" ht="27" customHeight="1" x14ac:dyDescent="0.4">
      <c r="A117" s="310" t="s">
        <v>77</v>
      </c>
      <c r="B117" s="311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105</v>
      </c>
      <c r="B120" s="204" t="s">
        <v>122</v>
      </c>
      <c r="C120" s="322" t="str">
        <f>B20</f>
        <v>EPLERENONE</v>
      </c>
      <c r="D120" s="322"/>
      <c r="E120" s="205" t="s">
        <v>123</v>
      </c>
      <c r="F120" s="205"/>
      <c r="G120" s="206">
        <f>F115</f>
        <v>0.83540698965312632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3" t="s">
        <v>25</v>
      </c>
      <c r="C122" s="323"/>
      <c r="E122" s="211" t="s">
        <v>26</v>
      </c>
      <c r="F122" s="260"/>
      <c r="G122" s="323" t="s">
        <v>27</v>
      </c>
      <c r="H122" s="323"/>
    </row>
    <row r="123" spans="1:10" ht="69.95" customHeight="1" x14ac:dyDescent="0.3">
      <c r="A123" s="261" t="s">
        <v>28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29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Eplerenone</vt:lpstr>
      <vt:lpstr>Eplerenone!Print_Area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2016-04-01T06:24:13Z</cp:lastPrinted>
  <dcterms:created xsi:type="dcterms:W3CDTF">2005-07-05T10:19:27Z</dcterms:created>
  <dcterms:modified xsi:type="dcterms:W3CDTF">2016-04-11T11:26:10Z</dcterms:modified>
</cp:coreProperties>
</file>