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ASA" sheetId="1" r:id="rId1"/>
    <sheet name="SST SA" sheetId="11" r:id="rId2"/>
    <sheet name="Uniformity" sheetId="2" r:id="rId3"/>
    <sheet name="Salicylic acid" sheetId="9" r:id="rId4"/>
    <sheet name="Acetyl salycylic acid" sheetId="4" r:id="rId5"/>
  </sheets>
  <definedNames>
    <definedName name="_xlnm.Print_Area" localSheetId="0">'SST ASA'!$A$15:$G$61</definedName>
    <definedName name="_xlnm.Print_Area" localSheetId="1">'SST SA'!$A$15:$H$61</definedName>
    <definedName name="_xlnm.Print_Area" localSheetId="2">Uniformity!$A$1:$I$54</definedName>
  </definedNames>
  <calcPr calcId="145621"/>
</workbook>
</file>

<file path=xl/calcChain.xml><?xml version="1.0" encoding="utf-8"?>
<calcChain xmlns="http://schemas.openxmlformats.org/spreadsheetml/2006/main">
  <c r="B21" i="11" l="1"/>
  <c r="B53" i="11"/>
  <c r="F51" i="11"/>
  <c r="D51" i="11"/>
  <c r="C51" i="11"/>
  <c r="B51" i="11"/>
  <c r="B52" i="11" s="1"/>
  <c r="B32" i="11"/>
  <c r="F30" i="11"/>
  <c r="D30" i="11"/>
  <c r="C30" i="11"/>
  <c r="B30" i="11"/>
  <c r="B31" i="11" s="1"/>
  <c r="C30" i="1"/>
  <c r="B21" i="1"/>
  <c r="C124" i="9" l="1"/>
  <c r="E119" i="9"/>
  <c r="B116" i="9"/>
  <c r="F113" i="9"/>
  <c r="E113" i="9"/>
  <c r="F112" i="9"/>
  <c r="E112" i="9"/>
  <c r="F111" i="9"/>
  <c r="E111" i="9"/>
  <c r="F110" i="9"/>
  <c r="E110" i="9"/>
  <c r="F109" i="9"/>
  <c r="F119" i="9" s="1"/>
  <c r="E109" i="9"/>
  <c r="F108" i="9"/>
  <c r="F125" i="9" s="1"/>
  <c r="E108" i="9"/>
  <c r="E115" i="9" s="1"/>
  <c r="E116" i="9" s="1"/>
  <c r="D101" i="9"/>
  <c r="D102" i="9" s="1"/>
  <c r="D100" i="9"/>
  <c r="F98" i="9"/>
  <c r="F99" i="9" s="1"/>
  <c r="B98" i="9"/>
  <c r="F97" i="9"/>
  <c r="D97" i="9"/>
  <c r="D98" i="9" s="1"/>
  <c r="D99" i="9" s="1"/>
  <c r="F95" i="9"/>
  <c r="D95" i="9"/>
  <c r="I92" i="9" s="1"/>
  <c r="G94" i="9"/>
  <c r="E94" i="9"/>
  <c r="G93" i="9"/>
  <c r="E93" i="9"/>
  <c r="D105" i="9" s="1"/>
  <c r="G92" i="9"/>
  <c r="E92" i="9"/>
  <c r="E95" i="9" s="1"/>
  <c r="G91" i="9"/>
  <c r="G95" i="9" s="1"/>
  <c r="E91" i="9"/>
  <c r="D103" i="9" s="1"/>
  <c r="D104" i="9" s="1"/>
  <c r="B87" i="9"/>
  <c r="B83" i="9"/>
  <c r="C76" i="9"/>
  <c r="H71" i="9"/>
  <c r="G71" i="9"/>
  <c r="B68" i="9"/>
  <c r="B69" i="9" s="1"/>
  <c r="H67" i="9"/>
  <c r="G67" i="9"/>
  <c r="H63" i="9"/>
  <c r="G63" i="9"/>
  <c r="B57" i="9"/>
  <c r="C56" i="9"/>
  <c r="B55" i="9"/>
  <c r="B45" i="9"/>
  <c r="D48" i="9" s="1"/>
  <c r="F44" i="9"/>
  <c r="D44" i="9"/>
  <c r="F42" i="9"/>
  <c r="D42" i="9"/>
  <c r="G41" i="9"/>
  <c r="E41" i="9"/>
  <c r="B34" i="9"/>
  <c r="B30" i="9"/>
  <c r="F45" i="9" l="1"/>
  <c r="F46" i="9" s="1"/>
  <c r="D45" i="9"/>
  <c r="E40" i="9" s="1"/>
  <c r="I39" i="9"/>
  <c r="D49" i="9"/>
  <c r="F115" i="9"/>
  <c r="E117" i="9"/>
  <c r="E120" i="9"/>
  <c r="D125" i="9"/>
  <c r="F117" i="9"/>
  <c r="F120" i="9"/>
  <c r="C124" i="4"/>
  <c r="B116" i="4"/>
  <c r="D100" i="4" s="1"/>
  <c r="B98" i="4"/>
  <c r="F95" i="4"/>
  <c r="D95" i="4"/>
  <c r="B87" i="4"/>
  <c r="B83" i="4"/>
  <c r="C76" i="4"/>
  <c r="B68" i="4"/>
  <c r="C56" i="4"/>
  <c r="B55" i="4"/>
  <c r="B45" i="4"/>
  <c r="D48" i="4" s="1"/>
  <c r="F42" i="4"/>
  <c r="D42" i="4"/>
  <c r="B34" i="4"/>
  <c r="D44" i="4" s="1"/>
  <c r="B30" i="4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B30" i="1"/>
  <c r="B31" i="1" s="1"/>
  <c r="E39" i="9" l="1"/>
  <c r="E42" i="9" s="1"/>
  <c r="D46" i="9"/>
  <c r="E38" i="9"/>
  <c r="G38" i="9"/>
  <c r="G40" i="9"/>
  <c r="G39" i="9"/>
  <c r="F116" i="9"/>
  <c r="G124" i="9"/>
  <c r="D101" i="4"/>
  <c r="D102" i="4" s="1"/>
  <c r="I92" i="4"/>
  <c r="I39" i="4"/>
  <c r="D49" i="4"/>
  <c r="F44" i="4"/>
  <c r="F45" i="4" s="1"/>
  <c r="G38" i="4" s="1"/>
  <c r="D45" i="4"/>
  <c r="E40" i="4" s="1"/>
  <c r="B57" i="4"/>
  <c r="C50" i="2"/>
  <c r="F97" i="4"/>
  <c r="F98" i="4" s="1"/>
  <c r="F99" i="4" s="1"/>
  <c r="D97" i="4"/>
  <c r="D98" i="4" s="1"/>
  <c r="D99" i="4" s="1"/>
  <c r="E92" i="4"/>
  <c r="D26" i="2"/>
  <c r="D30" i="2"/>
  <c r="D34" i="2"/>
  <c r="D38" i="2"/>
  <c r="D42" i="2"/>
  <c r="B49" i="2"/>
  <c r="D50" i="2"/>
  <c r="B69" i="4"/>
  <c r="G42" i="9" l="1"/>
  <c r="D50" i="9"/>
  <c r="G69" i="9" s="1"/>
  <c r="H69" i="9" s="1"/>
  <c r="D52" i="9"/>
  <c r="E91" i="4"/>
  <c r="E93" i="4"/>
  <c r="G94" i="4"/>
  <c r="G91" i="4"/>
  <c r="G92" i="4"/>
  <c r="E41" i="4"/>
  <c r="E38" i="4"/>
  <c r="D46" i="4"/>
  <c r="E39" i="4"/>
  <c r="F46" i="4"/>
  <c r="G39" i="4"/>
  <c r="G41" i="4"/>
  <c r="G40" i="4"/>
  <c r="G93" i="4"/>
  <c r="E94" i="4"/>
  <c r="D51" i="9" l="1"/>
  <c r="G62" i="9"/>
  <c r="H62" i="9" s="1"/>
  <c r="G64" i="9"/>
  <c r="H64" i="9" s="1"/>
  <c r="G70" i="9"/>
  <c r="H70" i="9" s="1"/>
  <c r="G68" i="9"/>
  <c r="H68" i="9" s="1"/>
  <c r="G65" i="9"/>
  <c r="H65" i="9" s="1"/>
  <c r="G66" i="9"/>
  <c r="H66" i="9" s="1"/>
  <c r="G61" i="9"/>
  <c r="H61" i="9" s="1"/>
  <c r="G60" i="9"/>
  <c r="D105" i="4"/>
  <c r="E95" i="4"/>
  <c r="G42" i="4"/>
  <c r="G95" i="4"/>
  <c r="D103" i="4"/>
  <c r="E111" i="4" s="1"/>
  <c r="F111" i="4" s="1"/>
  <c r="D52" i="4"/>
  <c r="E42" i="4"/>
  <c r="D50" i="4"/>
  <c r="E113" i="4"/>
  <c r="F113" i="4" s="1"/>
  <c r="G74" i="9" l="1"/>
  <c r="G72" i="9"/>
  <c r="G73" i="9" s="1"/>
  <c r="H60" i="9"/>
  <c r="H72" i="9" s="1"/>
  <c r="E112" i="4"/>
  <c r="F112" i="4" s="1"/>
  <c r="D104" i="4"/>
  <c r="E108" i="4"/>
  <c r="E109" i="4"/>
  <c r="F109" i="4" s="1"/>
  <c r="E110" i="4"/>
  <c r="F110" i="4" s="1"/>
  <c r="D51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1" i="4"/>
  <c r="H61" i="4" s="1"/>
  <c r="G65" i="4"/>
  <c r="H65" i="4" s="1"/>
  <c r="G63" i="4"/>
  <c r="H63" i="4" s="1"/>
  <c r="G67" i="4"/>
  <c r="H67" i="4" s="1"/>
  <c r="G70" i="4"/>
  <c r="H70" i="4" s="1"/>
  <c r="H74" i="9" l="1"/>
  <c r="G76" i="9"/>
  <c r="H73" i="9"/>
  <c r="E119" i="4"/>
  <c r="E120" i="4"/>
  <c r="F108" i="4"/>
  <c r="F125" i="4" s="1"/>
  <c r="E115" i="4"/>
  <c r="E116" i="4" s="1"/>
  <c r="E117" i="4"/>
  <c r="H60" i="4"/>
  <c r="G74" i="4"/>
  <c r="G72" i="4"/>
  <c r="G73" i="4" s="1"/>
  <c r="F119" i="4" l="1"/>
  <c r="F117" i="4"/>
  <c r="F115" i="4"/>
  <c r="G124" i="4" s="1"/>
  <c r="F120" i="4"/>
  <c r="D125" i="4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<sst xmlns="http://schemas.openxmlformats.org/spreadsheetml/2006/main" count="453" uniqueCount="138">
  <si>
    <t>HPLC System Suitability Report</t>
  </si>
  <si>
    <t>Analysis Data</t>
  </si>
  <si>
    <t>Assay</t>
  </si>
  <si>
    <t>Sample(s)</t>
  </si>
  <si>
    <t>Reference Substance:</t>
  </si>
  <si>
    <t>ALKA SELZER EFFERVESCENT TABLET</t>
  </si>
  <si>
    <t>% age Purity:</t>
  </si>
  <si>
    <t>NDQD201512604</t>
  </si>
  <si>
    <t>Weight (mg):</t>
  </si>
  <si>
    <t>Acetyl salicylic acid</t>
  </si>
  <si>
    <t>Standard Conc (mg/mL):</t>
  </si>
  <si>
    <t>Each tablet contains Sodium Bicarbonate 1.976g, Citric Acid 1.000g, Acetylsalicylic Acid 0.324g</t>
  </si>
  <si>
    <t>2015-12-08 13:17:51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</si>
  <si>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</si>
  <si>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</si>
  <si>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</si>
  <si>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</si>
  <si>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</si>
  <si>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</si>
  <si>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</si>
  <si>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</si>
  <si>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</si>
  <si>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</si>
  <si>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</si>
  <si>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</si>
  <si>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</si>
  <si>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</si>
  <si>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</si>
  <si>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</si>
  <si>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</si>
  <si>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</si>
  <si>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</si>
  <si>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</si>
  <si>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</si>
  <si>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</si>
  <si>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</si>
  <si>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</si>
  <si>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</si>
  <si>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</si>
  <si>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</si>
  <si>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</si>
  <si>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</si>
  <si>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</si>
  <si>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</si>
  <si>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</si>
  <si>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</si>
  <si>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</si>
  <si>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</si>
  <si>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</si>
  <si>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</si>
  <si>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</si>
  <si>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</si>
  <si>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</si>
  <si>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</si>
  <si>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</si>
  <si>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</si>
  <si>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</si>
  <si>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</si>
  <si>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</si>
  <si>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</si>
  <si>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</si>
  <si>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</si>
  <si>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</si>
  <si>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</si>
  <si>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</si>
  <si>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</si>
  <si>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</si>
  <si>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</si>
  <si>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</si>
  <si>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</si>
  <si>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</si>
  <si>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</si>
  <si>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</si>
  <si>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</si>
  <si>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</si>
  <si>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</si>
  <si>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</si>
  <si>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</si>
  <si>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</si>
  <si>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</si>
  <si>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</si>
  <si>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</si>
  <si>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</si>
  <si>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</si>
  <si>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</si>
  <si>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</si>
  <si>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</si>
  <si>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</si>
  <si>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</si>
  <si>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</si>
  <si>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</si>
  <si>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</si>
  <si>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</si>
  <si>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</si>
  <si>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</si>
  <si>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</si>
  <si>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</si>
  <si>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</si>
  <si>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</si>
  <si>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</si>
  <si>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</si>
  <si>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</si>
  <si>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</si>
  <si>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</si>
  <si>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</si>
  <si>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</si>
  <si>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</si>
  <si>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</si>
  <si>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</si>
  <si>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</si>
  <si>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</si>
  <si>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</si>
  <si>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</si>
  <si>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</si>
  <si>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</si>
  <si>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</si>
  <si>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</si>
  <si>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</si>
  <si>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</si>
  <si>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</si>
  <si>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</si>
  <si>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</si>
  <si>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</si>
  <si>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</si>
  <si>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</si>
  <si>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</si>
  <si>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</si>
  <si>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</si>
  <si>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</si>
  <si>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</si>
  <si>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</si>
  <si>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A30-1</t>
  </si>
  <si>
    <t>Salicylic acid</t>
  </si>
  <si>
    <t>S16-1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</si>
  <si>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NMT 1.5%</t>
    </r>
  </si>
  <si>
    <r>
      <t xml:space="preserve">Resolution between ASA and SA should </t>
    </r>
    <r>
      <rPr>
        <b/>
        <sz val="12"/>
        <color rgb="FF000000"/>
        <rFont val="Book Antiqua"/>
        <family val="1"/>
      </rPr>
      <t>NMT 1.5%</t>
    </r>
  </si>
  <si>
    <t>RUTTO KENNEDY</t>
  </si>
  <si>
    <t>Resolution(USP)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</si>
</sst>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4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0" fontId="11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3" fillId="3" borderId="41" xfId="0" applyNumberFormat="1" applyFont="1" applyFill="1" applyBorder="1" applyAlignment="1" applyProtection="1">
      <alignment horizontal="center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26" fillId="2" borderId="0" xfId="0" applyFont="1" applyFill="1"/>
    <xf numFmtId="0" fontId="27" fillId="2" borderId="7" xfId="0" applyFont="1" applyFill="1" applyBorder="1"/>
    <xf numFmtId="14" fontId="2" fillId="2" borderId="7" xfId="0" applyNumberFormat="1" applyFont="1" applyFill="1" applyBorder="1"/>
    <xf numFmtId="10" fontId="2" fillId="2" borderId="0" xfId="0" applyNumberFormat="1" applyFont="1" applyFill="1" applyBorder="1"/>
    <xf numFmtId="0" fontId="25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left"/>
    </xf>
    <xf numFmtId="164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1" t="s">
        <v>0</v>
      </c>
      <c r="B15" s="311"/>
      <c r="C15" s="311"/>
      <c r="D15" s="311"/>
      <c r="E15" s="31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30.28</v>
      </c>
      <c r="C20" s="10"/>
      <c r="D20" s="10"/>
      <c r="E20" s="10"/>
    </row>
    <row r="21" spans="1:6" ht="16.5" customHeight="1" x14ac:dyDescent="0.3">
      <c r="A21" s="7" t="s">
        <v>10</v>
      </c>
      <c r="B21" s="13">
        <f>30.28/20*10/50</f>
        <v>0.30280000000000001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17904051</v>
      </c>
      <c r="C24" s="18">
        <v>7486.6</v>
      </c>
      <c r="D24" s="19">
        <v>1.1000000000000001</v>
      </c>
      <c r="E24" s="20">
        <v>4.0999999999999996</v>
      </c>
    </row>
    <row r="25" spans="1:6" ht="16.5" customHeight="1" x14ac:dyDescent="0.3">
      <c r="A25" s="17">
        <v>2</v>
      </c>
      <c r="B25" s="18">
        <v>17963786</v>
      </c>
      <c r="C25" s="18">
        <v>7484.8</v>
      </c>
      <c r="D25" s="19">
        <v>1.1000000000000001</v>
      </c>
      <c r="E25" s="19">
        <v>4.0999999999999996</v>
      </c>
    </row>
    <row r="26" spans="1:6" ht="16.5" customHeight="1" x14ac:dyDescent="0.3">
      <c r="A26" s="17">
        <v>3</v>
      </c>
      <c r="B26" s="18">
        <v>17986139</v>
      </c>
      <c r="C26" s="18">
        <v>7260.6</v>
      </c>
      <c r="D26" s="19">
        <v>1.2</v>
      </c>
      <c r="E26" s="19">
        <v>4.0999999999999996</v>
      </c>
    </row>
    <row r="27" spans="1:6" ht="16.5" customHeight="1" x14ac:dyDescent="0.3">
      <c r="A27" s="17">
        <v>4</v>
      </c>
      <c r="B27" s="18">
        <v>17984117</v>
      </c>
      <c r="C27" s="18">
        <v>7425.3</v>
      </c>
      <c r="D27" s="19">
        <v>1.1000000000000001</v>
      </c>
      <c r="E27" s="19">
        <v>4.0999999999999996</v>
      </c>
    </row>
    <row r="28" spans="1:6" ht="16.5" customHeight="1" x14ac:dyDescent="0.3">
      <c r="A28" s="17">
        <v>5</v>
      </c>
      <c r="B28" s="18">
        <v>17965082</v>
      </c>
      <c r="C28" s="18">
        <v>7343.9</v>
      </c>
      <c r="D28" s="19">
        <v>1.1000000000000001</v>
      </c>
      <c r="E28" s="19">
        <v>4.0999999999999996</v>
      </c>
    </row>
    <row r="29" spans="1:6" ht="16.5" customHeight="1" x14ac:dyDescent="0.3">
      <c r="A29" s="17">
        <v>6</v>
      </c>
      <c r="B29" s="21">
        <v>17957135</v>
      </c>
      <c r="C29" s="21">
        <v>7415.6</v>
      </c>
      <c r="D29" s="22">
        <v>1.2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17960051.666666668</v>
      </c>
      <c r="C30" s="25">
        <f>AVERAGE(C24:C29)</f>
        <v>7402.7999999999993</v>
      </c>
      <c r="D30" s="26">
        <f>AVERAGE(D24:D29)</f>
        <v>1.1333333333333333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1.6598582537165965E-3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03" t="s">
        <v>134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304" t="s">
        <v>135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2" t="s">
        <v>26</v>
      </c>
      <c r="C59" s="31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305" t="s">
        <v>136</v>
      </c>
      <c r="C60" s="48"/>
      <c r="E60" s="306">
        <v>42887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B22" sqref="B22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5" width="25.85546875" style="220" customWidth="1"/>
    <col min="6" max="6" width="25.7109375" style="220" customWidth="1"/>
    <col min="7" max="7" width="23.140625" style="220" customWidth="1"/>
    <col min="8" max="8" width="28.42578125" style="220" customWidth="1"/>
    <col min="9" max="9" width="21.5703125" style="220" customWidth="1"/>
    <col min="10" max="10" width="9.140625" style="220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11" t="s">
        <v>0</v>
      </c>
      <c r="B15" s="311"/>
      <c r="C15" s="311"/>
      <c r="D15" s="311"/>
      <c r="E15" s="311"/>
      <c r="F15" s="311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309" t="s">
        <v>132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99.8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7.94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310">
        <f>7.94/10*5/25*1/20*10/50</f>
        <v>1.588E-3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308" t="s">
        <v>137</v>
      </c>
      <c r="F23" s="16" t="s">
        <v>17</v>
      </c>
    </row>
    <row r="24" spans="1:6" ht="16.5" customHeight="1" x14ac:dyDescent="0.3">
      <c r="A24" s="17">
        <v>1</v>
      </c>
      <c r="B24" s="18">
        <v>7642364</v>
      </c>
      <c r="C24" s="18">
        <v>6861.3</v>
      </c>
      <c r="D24" s="19">
        <v>1.2</v>
      </c>
      <c r="E24" s="19">
        <v>9.5</v>
      </c>
      <c r="F24" s="20">
        <v>6.4</v>
      </c>
    </row>
    <row r="25" spans="1:6" ht="16.5" customHeight="1" x14ac:dyDescent="0.3">
      <c r="A25" s="17">
        <v>2</v>
      </c>
      <c r="B25" s="18">
        <v>7723009</v>
      </c>
      <c r="C25" s="18">
        <v>6774.7</v>
      </c>
      <c r="D25" s="19">
        <v>1.1000000000000001</v>
      </c>
      <c r="E25" s="19">
        <v>9.4</v>
      </c>
      <c r="F25" s="19">
        <v>6.4</v>
      </c>
    </row>
    <row r="26" spans="1:6" ht="16.5" customHeight="1" x14ac:dyDescent="0.3">
      <c r="A26" s="17">
        <v>3</v>
      </c>
      <c r="B26" s="18">
        <v>7784635</v>
      </c>
      <c r="C26" s="18">
        <v>6778.4</v>
      </c>
      <c r="D26" s="19">
        <v>1.2</v>
      </c>
      <c r="E26" s="19">
        <v>9.4</v>
      </c>
      <c r="F26" s="19">
        <v>6.4</v>
      </c>
    </row>
    <row r="27" spans="1:6" ht="16.5" customHeight="1" x14ac:dyDescent="0.3">
      <c r="A27" s="17">
        <v>4</v>
      </c>
      <c r="B27" s="18">
        <v>7829217</v>
      </c>
      <c r="C27" s="18">
        <v>6726.1</v>
      </c>
      <c r="D27" s="19">
        <v>1.1000000000000001</v>
      </c>
      <c r="E27" s="19">
        <v>9.4</v>
      </c>
      <c r="F27" s="19">
        <v>6.4</v>
      </c>
    </row>
    <row r="28" spans="1:6" ht="16.5" customHeight="1" x14ac:dyDescent="0.3">
      <c r="A28" s="17">
        <v>5</v>
      </c>
      <c r="B28" s="18">
        <v>7867250</v>
      </c>
      <c r="C28" s="18">
        <v>6566.2</v>
      </c>
      <c r="D28" s="19">
        <v>1.2</v>
      </c>
      <c r="E28" s="19">
        <v>9.3000000000000007</v>
      </c>
      <c r="F28" s="19">
        <v>6.4</v>
      </c>
    </row>
    <row r="29" spans="1:6" ht="16.5" customHeight="1" x14ac:dyDescent="0.3">
      <c r="A29" s="17">
        <v>6</v>
      </c>
      <c r="B29" s="21">
        <v>7887177</v>
      </c>
      <c r="C29" s="21">
        <v>6627.8</v>
      </c>
      <c r="D29" s="22">
        <v>1.1000000000000001</v>
      </c>
      <c r="E29" s="22">
        <v>9.3000000000000007</v>
      </c>
      <c r="F29" s="22">
        <v>6.4</v>
      </c>
    </row>
    <row r="30" spans="1:6" ht="16.5" customHeight="1" x14ac:dyDescent="0.3">
      <c r="A30" s="23" t="s">
        <v>18</v>
      </c>
      <c r="B30" s="24">
        <f>AVERAGE(B24:B29)</f>
        <v>7788942</v>
      </c>
      <c r="C30" s="25">
        <f>AVERAGE(C24:C29)</f>
        <v>6722.416666666667</v>
      </c>
      <c r="D30" s="26">
        <f>AVERAGE(D24:D29)</f>
        <v>1.1500000000000001</v>
      </c>
      <c r="E30" s="26">
        <v>9.3800000000000008</v>
      </c>
      <c r="F30" s="26">
        <f>AVERAGE(F24:F29)</f>
        <v>6.3999999999999995</v>
      </c>
    </row>
    <row r="31" spans="1:6" ht="16.5" customHeight="1" x14ac:dyDescent="0.3">
      <c r="A31" s="27" t="s">
        <v>19</v>
      </c>
      <c r="B31" s="28">
        <f>(STDEV(B24:B29)/B30)</f>
        <v>1.1941405933567599E-2</v>
      </c>
      <c r="C31" s="29"/>
      <c r="D31" s="29"/>
      <c r="E31" s="29"/>
      <c r="F31" s="30"/>
    </row>
    <row r="32" spans="1:6" s="22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220" customFormat="1" ht="15.75" customHeight="1" x14ac:dyDescent="0.25">
      <c r="A33" s="72"/>
      <c r="B33" s="72"/>
      <c r="C33" s="72"/>
      <c r="D33" s="72"/>
      <c r="E33" s="72"/>
      <c r="F33" s="72"/>
    </row>
    <row r="34" spans="1:6" s="220" customFormat="1" ht="16.5" customHeight="1" x14ac:dyDescent="0.3">
      <c r="A34" s="75" t="s">
        <v>21</v>
      </c>
      <c r="B34" s="303" t="s">
        <v>134</v>
      </c>
      <c r="C34" s="39"/>
      <c r="D34" s="39"/>
      <c r="E34" s="39"/>
      <c r="F34" s="39"/>
    </row>
    <row r="35" spans="1:6" ht="16.5" customHeight="1" x14ac:dyDescent="0.3">
      <c r="A35" s="75"/>
      <c r="B35" s="40" t="s">
        <v>23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3">
      <c r="A37" s="72"/>
      <c r="B37" s="304" t="s">
        <v>135</v>
      </c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/>
      <c r="C39" s="72"/>
      <c r="D39" s="72"/>
      <c r="E39" s="72"/>
      <c r="F39" s="72"/>
    </row>
    <row r="40" spans="1:6" ht="16.5" customHeight="1" x14ac:dyDescent="0.3">
      <c r="A40" s="75" t="s">
        <v>6</v>
      </c>
      <c r="B40" s="12"/>
      <c r="C40" s="72"/>
      <c r="D40" s="72"/>
      <c r="E40" s="72"/>
      <c r="F40" s="72"/>
    </row>
    <row r="41" spans="1:6" ht="16.5" customHeight="1" x14ac:dyDescent="0.3">
      <c r="A41" s="8" t="s">
        <v>8</v>
      </c>
      <c r="B41" s="12"/>
      <c r="C41" s="72"/>
      <c r="D41" s="72"/>
      <c r="E41" s="72"/>
      <c r="F41" s="72"/>
    </row>
    <row r="42" spans="1:6" ht="16.5" customHeight="1" x14ac:dyDescent="0.3">
      <c r="A42" s="8" t="s">
        <v>10</v>
      </c>
      <c r="B42" s="13"/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/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22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  <c r="F53" s="35"/>
    </row>
    <row r="54" spans="1:8" s="220" customFormat="1" ht="15.75" customHeight="1" x14ac:dyDescent="0.25">
      <c r="A54" s="72"/>
      <c r="B54" s="72"/>
      <c r="C54" s="72"/>
      <c r="D54" s="72"/>
      <c r="E54" s="72"/>
      <c r="F54" s="72"/>
    </row>
    <row r="55" spans="1:8" s="220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150"/>
      <c r="D58" s="43"/>
      <c r="E58" s="307"/>
      <c r="G58" s="44"/>
      <c r="H58" s="44"/>
    </row>
    <row r="59" spans="1:8" ht="15" customHeight="1" x14ac:dyDescent="0.3">
      <c r="B59" s="312" t="s">
        <v>26</v>
      </c>
      <c r="C59" s="312"/>
      <c r="F59" s="301" t="s">
        <v>27</v>
      </c>
      <c r="G59" s="46"/>
      <c r="H59" s="301" t="s">
        <v>28</v>
      </c>
    </row>
    <row r="60" spans="1:8" ht="15" customHeight="1" x14ac:dyDescent="0.3">
      <c r="A60" s="47" t="s">
        <v>29</v>
      </c>
      <c r="B60" s="305" t="s">
        <v>136</v>
      </c>
      <c r="C60" s="49"/>
      <c r="F60" s="306">
        <v>42887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3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6" t="s">
        <v>31</v>
      </c>
      <c r="B11" s="317"/>
      <c r="C11" s="317"/>
      <c r="D11" s="317"/>
      <c r="E11" s="317"/>
      <c r="F11" s="318"/>
      <c r="G11" s="91"/>
    </row>
    <row r="12" spans="1:7" ht="16.5" customHeight="1" x14ac:dyDescent="0.3">
      <c r="A12" s="315" t="s">
        <v>32</v>
      </c>
      <c r="B12" s="315"/>
      <c r="C12" s="315"/>
      <c r="D12" s="315"/>
      <c r="E12" s="315"/>
      <c r="F12" s="315"/>
      <c r="G12" s="90"/>
    </row>
    <row r="14" spans="1:7" ht="16.5" customHeight="1" x14ac:dyDescent="0.3">
      <c r="A14" s="320" t="s">
        <v>33</v>
      </c>
      <c r="B14" s="320"/>
      <c r="C14" s="60" t="s">
        <v>5</v>
      </c>
    </row>
    <row r="15" spans="1:7" ht="16.5" customHeight="1" x14ac:dyDescent="0.3">
      <c r="A15" s="320" t="s">
        <v>34</v>
      </c>
      <c r="B15" s="320"/>
      <c r="C15" s="60" t="s">
        <v>7</v>
      </c>
    </row>
    <row r="16" spans="1:7" ht="16.5" customHeight="1" x14ac:dyDescent="0.3">
      <c r="A16" s="320" t="s">
        <v>35</v>
      </c>
      <c r="B16" s="320"/>
      <c r="C16" s="60" t="s">
        <v>9</v>
      </c>
    </row>
    <row r="17" spans="1:5" ht="16.5" customHeight="1" x14ac:dyDescent="0.3">
      <c r="A17" s="320" t="s">
        <v>36</v>
      </c>
      <c r="B17" s="320"/>
      <c r="C17" s="60" t="s">
        <v>11</v>
      </c>
    </row>
    <row r="18" spans="1:5" ht="16.5" customHeight="1" x14ac:dyDescent="0.3">
      <c r="A18" s="320" t="s">
        <v>37</v>
      </c>
      <c r="B18" s="320"/>
      <c r="C18" s="97" t="s">
        <v>12</v>
      </c>
    </row>
    <row r="19" spans="1:5" ht="16.5" customHeight="1" x14ac:dyDescent="0.3">
      <c r="A19" s="320" t="s">
        <v>38</v>
      </c>
      <c r="B19" s="32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15" t="s">
        <v>1</v>
      </c>
      <c r="B21" s="315"/>
      <c r="C21" s="59" t="s">
        <v>39</v>
      </c>
      <c r="D21" s="66"/>
    </row>
    <row r="22" spans="1:5" ht="15.75" customHeight="1" x14ac:dyDescent="0.3">
      <c r="A22" s="319"/>
      <c r="B22" s="319"/>
      <c r="C22" s="57"/>
      <c r="D22" s="319"/>
      <c r="E22" s="31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3323.13</v>
      </c>
      <c r="D24" s="87">
        <f t="shared" ref="D24:D43" si="0">(C24-$C$46)/$C$46</f>
        <v>6.4706291225104066E-3</v>
      </c>
      <c r="E24" s="53"/>
    </row>
    <row r="25" spans="1:5" ht="15.75" customHeight="1" x14ac:dyDescent="0.3">
      <c r="C25" s="95">
        <v>3326.57</v>
      </c>
      <c r="D25" s="88">
        <f t="shared" si="0"/>
        <v>7.5124959661733064E-3</v>
      </c>
      <c r="E25" s="53"/>
    </row>
    <row r="26" spans="1:5" ht="15.75" customHeight="1" x14ac:dyDescent="0.3">
      <c r="C26" s="95">
        <v>3283.46</v>
      </c>
      <c r="D26" s="88">
        <f t="shared" si="0"/>
        <v>-5.5441550891484987E-3</v>
      </c>
      <c r="E26" s="53"/>
    </row>
    <row r="27" spans="1:5" ht="15.75" customHeight="1" x14ac:dyDescent="0.3">
      <c r="C27" s="95">
        <v>3327.95</v>
      </c>
      <c r="D27" s="88">
        <f t="shared" si="0"/>
        <v>7.9304541767123808E-3</v>
      </c>
      <c r="E27" s="53"/>
    </row>
    <row r="28" spans="1:5" ht="15.75" customHeight="1" x14ac:dyDescent="0.3">
      <c r="C28" s="95">
        <v>3294.59</v>
      </c>
      <c r="D28" s="88">
        <f t="shared" si="0"/>
        <v>-2.1732312606694295E-3</v>
      </c>
      <c r="E28" s="53"/>
    </row>
    <row r="29" spans="1:5" ht="15.75" customHeight="1" x14ac:dyDescent="0.3">
      <c r="C29" s="95">
        <v>3303.98</v>
      </c>
      <c r="D29" s="88">
        <f t="shared" si="0"/>
        <v>6.7070178060799404E-4</v>
      </c>
      <c r="E29" s="53"/>
    </row>
    <row r="30" spans="1:5" ht="15.75" customHeight="1" x14ac:dyDescent="0.3">
      <c r="C30" s="95">
        <v>3289.51</v>
      </c>
      <c r="D30" s="88">
        <f t="shared" si="0"/>
        <v>-3.7118020646831995E-3</v>
      </c>
      <c r="E30" s="53"/>
    </row>
    <row r="31" spans="1:5" ht="15.75" customHeight="1" x14ac:dyDescent="0.3">
      <c r="C31" s="95">
        <v>3267.87</v>
      </c>
      <c r="D31" s="88">
        <f t="shared" si="0"/>
        <v>-1.0265871395167247E-2</v>
      </c>
      <c r="E31" s="53"/>
    </row>
    <row r="32" spans="1:5" ht="15.75" customHeight="1" x14ac:dyDescent="0.3">
      <c r="C32" s="95">
        <v>3277.63</v>
      </c>
      <c r="D32" s="88">
        <f t="shared" si="0"/>
        <v>-7.3098770945422579E-3</v>
      </c>
      <c r="E32" s="53"/>
    </row>
    <row r="33" spans="1:7" ht="15.75" customHeight="1" x14ac:dyDescent="0.3">
      <c r="C33" s="95">
        <v>3312.35</v>
      </c>
      <c r="D33" s="88">
        <f t="shared" si="0"/>
        <v>3.2057091880086379E-3</v>
      </c>
      <c r="E33" s="53"/>
    </row>
    <row r="34" spans="1:7" ht="15.75" customHeight="1" x14ac:dyDescent="0.3">
      <c r="C34" s="95">
        <v>3297.05</v>
      </c>
      <c r="D34" s="88">
        <f t="shared" si="0"/>
        <v>-1.4281753201430545E-3</v>
      </c>
      <c r="E34" s="53"/>
    </row>
    <row r="35" spans="1:7" ht="15.75" customHeight="1" x14ac:dyDescent="0.3">
      <c r="C35" s="95">
        <v>3288.01</v>
      </c>
      <c r="D35" s="88">
        <f t="shared" si="0"/>
        <v>-4.1661044674431774E-3</v>
      </c>
      <c r="E35" s="53"/>
    </row>
    <row r="36" spans="1:7" ht="15.75" customHeight="1" x14ac:dyDescent="0.3">
      <c r="C36" s="95">
        <v>3292.78</v>
      </c>
      <c r="D36" s="88">
        <f t="shared" si="0"/>
        <v>-2.721422826666453E-3</v>
      </c>
      <c r="E36" s="53"/>
    </row>
    <row r="37" spans="1:7" ht="15.75" customHeight="1" x14ac:dyDescent="0.3">
      <c r="C37" s="95">
        <v>3305.99</v>
      </c>
      <c r="D37" s="88">
        <f t="shared" si="0"/>
        <v>1.2794670003062928E-3</v>
      </c>
      <c r="E37" s="53"/>
    </row>
    <row r="38" spans="1:7" ht="15.75" customHeight="1" x14ac:dyDescent="0.3">
      <c r="C38" s="95">
        <v>3304.02</v>
      </c>
      <c r="D38" s="88">
        <f t="shared" si="0"/>
        <v>6.8281651134824905E-4</v>
      </c>
      <c r="E38" s="53"/>
    </row>
    <row r="39" spans="1:7" ht="15.75" customHeight="1" x14ac:dyDescent="0.3">
      <c r="C39" s="95">
        <v>3301.03</v>
      </c>
      <c r="D39" s="88">
        <f t="shared" si="0"/>
        <v>-2.2275961148657421E-4</v>
      </c>
      <c r="E39" s="53"/>
    </row>
    <row r="40" spans="1:7" ht="15.75" customHeight="1" x14ac:dyDescent="0.3">
      <c r="C40" s="95">
        <v>3301.1</v>
      </c>
      <c r="D40" s="88">
        <f t="shared" si="0"/>
        <v>-2.0155883269119671E-4</v>
      </c>
      <c r="E40" s="53"/>
    </row>
    <row r="41" spans="1:7" ht="15.75" customHeight="1" x14ac:dyDescent="0.3">
      <c r="C41" s="95">
        <v>3303.63</v>
      </c>
      <c r="D41" s="88">
        <f t="shared" si="0"/>
        <v>5.6469788663069342E-4</v>
      </c>
      <c r="E41" s="53"/>
    </row>
    <row r="42" spans="1:7" ht="15.75" customHeight="1" x14ac:dyDescent="0.3">
      <c r="C42" s="95">
        <v>3311.66</v>
      </c>
      <c r="D42" s="88">
        <f t="shared" si="0"/>
        <v>2.9967300827390317E-3</v>
      </c>
      <c r="E42" s="53"/>
    </row>
    <row r="43" spans="1:7" ht="16.5" customHeight="1" x14ac:dyDescent="0.3">
      <c r="C43" s="96">
        <v>3323</v>
      </c>
      <c r="D43" s="89">
        <f t="shared" si="0"/>
        <v>6.4312562476045087E-3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66035.31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3301.7655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13">
        <f>C46</f>
        <v>3301.7655</v>
      </c>
      <c r="C49" s="93">
        <f>-IF(C46&lt;=80,10%,IF(C46&lt;250,7.5%,5%))</f>
        <v>-0.05</v>
      </c>
      <c r="D49" s="81">
        <f>IF(C46&lt;=80,C46*0.9,IF(C46&lt;250,C46*0.925,C46*0.95))</f>
        <v>3136.6772249999999</v>
      </c>
    </row>
    <row r="50" spans="1:6" ht="17.25" customHeight="1" x14ac:dyDescent="0.3">
      <c r="B50" s="314"/>
      <c r="C50" s="94">
        <f>IF(C46&lt;=80, 10%, IF(C46&lt;250, 7.5%, 5%))</f>
        <v>0.05</v>
      </c>
      <c r="D50" s="81">
        <f>IF(C46&lt;=80, C46*1.1, IF(C46&lt;250, C46*1.075, C46*1.05))</f>
        <v>3466.853775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6" zoomScale="50" zoomScaleNormal="40" zoomScalePageLayoutView="50" workbookViewId="0">
      <selection activeCell="H78" sqref="H78"/>
    </sheetView>
  </sheetViews>
  <sheetFormatPr defaultColWidth="9.140625" defaultRowHeight="13.5" x14ac:dyDescent="0.25"/>
  <cols>
    <col min="1" max="1" width="55.42578125" style="220" customWidth="1"/>
    <col min="2" max="2" width="33.7109375" style="220" customWidth="1"/>
    <col min="3" max="3" width="42.28515625" style="220" customWidth="1"/>
    <col min="4" max="4" width="30.5703125" style="220" customWidth="1"/>
    <col min="5" max="5" width="39.85546875" style="220" customWidth="1"/>
    <col min="6" max="6" width="30.7109375" style="220" customWidth="1"/>
    <col min="7" max="7" width="39.85546875" style="220" customWidth="1"/>
    <col min="8" max="8" width="30" style="220" customWidth="1"/>
    <col min="9" max="9" width="30.28515625" style="220" hidden="1" customWidth="1"/>
    <col min="10" max="10" width="30.42578125" style="220" customWidth="1"/>
    <col min="11" max="11" width="21.28515625" style="220" customWidth="1"/>
    <col min="12" max="12" width="9.140625" style="220"/>
    <col min="13" max="16384" width="9.140625" style="44"/>
  </cols>
  <sheetData>
    <row r="1" spans="1:9" ht="18.75" customHeight="1" x14ac:dyDescent="0.25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thickBot="1" x14ac:dyDescent="0.35">
      <c r="A15" s="290"/>
    </row>
    <row r="16" spans="1:9" ht="19.5" customHeight="1" thickBot="1" x14ac:dyDescent="0.35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33</v>
      </c>
      <c r="B18" s="330" t="s">
        <v>5</v>
      </c>
      <c r="C18" s="330"/>
      <c r="D18" s="246"/>
      <c r="E18" s="101"/>
      <c r="F18" s="255"/>
      <c r="G18" s="255"/>
      <c r="H18" s="255"/>
    </row>
    <row r="19" spans="1:14" ht="26.25" customHeight="1" x14ac:dyDescent="0.4">
      <c r="A19" s="100" t="s">
        <v>34</v>
      </c>
      <c r="B19" s="299" t="s">
        <v>7</v>
      </c>
      <c r="C19" s="255">
        <v>1</v>
      </c>
      <c r="D19" s="255"/>
      <c r="E19" s="255"/>
      <c r="F19" s="255"/>
      <c r="G19" s="255"/>
      <c r="H19" s="255"/>
    </row>
    <row r="20" spans="1:14" ht="26.25" customHeight="1" x14ac:dyDescent="0.4">
      <c r="A20" s="100" t="s">
        <v>35</v>
      </c>
      <c r="B20" s="331" t="s">
        <v>132</v>
      </c>
      <c r="C20" s="331"/>
      <c r="D20" s="255"/>
      <c r="E20" s="255"/>
      <c r="F20" s="255"/>
      <c r="G20" s="255"/>
      <c r="H20" s="255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285"/>
    </row>
    <row r="22" spans="1:14" ht="26.25" customHeight="1" x14ac:dyDescent="0.4">
      <c r="A22" s="100" t="s">
        <v>37</v>
      </c>
      <c r="B22" s="105">
        <v>42373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100" t="s">
        <v>38</v>
      </c>
      <c r="B23" s="105">
        <v>42375</v>
      </c>
      <c r="C23" s="255"/>
      <c r="D23" s="255"/>
      <c r="E23" s="255"/>
      <c r="F23" s="255"/>
      <c r="G23" s="255"/>
      <c r="H23" s="255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87" t="s">
        <v>4</v>
      </c>
      <c r="B26" s="330" t="s">
        <v>132</v>
      </c>
      <c r="C26" s="330"/>
    </row>
    <row r="27" spans="1:14" ht="26.25" customHeight="1" x14ac:dyDescent="0.4">
      <c r="A27" s="209" t="s">
        <v>48</v>
      </c>
      <c r="B27" s="332" t="s">
        <v>133</v>
      </c>
      <c r="C27" s="332"/>
    </row>
    <row r="28" spans="1:14" ht="27" customHeight="1" thickBot="1" x14ac:dyDescent="0.45">
      <c r="A28" s="209" t="s">
        <v>6</v>
      </c>
      <c r="B28" s="201">
        <v>99.8</v>
      </c>
    </row>
    <row r="29" spans="1:14" s="16" customFormat="1" ht="27" customHeight="1" thickBot="1" x14ac:dyDescent="0.45">
      <c r="A29" s="209" t="s">
        <v>49</v>
      </c>
      <c r="B29" s="111">
        <v>0</v>
      </c>
      <c r="C29" s="333" t="s">
        <v>50</v>
      </c>
      <c r="D29" s="334"/>
      <c r="E29" s="334"/>
      <c r="F29" s="334"/>
      <c r="G29" s="335"/>
      <c r="I29" s="112"/>
      <c r="J29" s="112"/>
      <c r="K29" s="112"/>
      <c r="L29" s="112"/>
    </row>
    <row r="30" spans="1:14" s="16" customFormat="1" ht="19.5" customHeight="1" thickBot="1" x14ac:dyDescent="0.35">
      <c r="A30" s="209" t="s">
        <v>51</v>
      </c>
      <c r="B30" s="295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09" t="s">
        <v>52</v>
      </c>
      <c r="B31" s="291">
        <v>1</v>
      </c>
      <c r="C31" s="321" t="s">
        <v>53</v>
      </c>
      <c r="D31" s="322"/>
      <c r="E31" s="322"/>
      <c r="F31" s="322"/>
      <c r="G31" s="322"/>
      <c r="H31" s="323"/>
      <c r="I31" s="112"/>
      <c r="J31" s="112"/>
      <c r="K31" s="112"/>
      <c r="L31" s="112"/>
    </row>
    <row r="32" spans="1:14" s="16" customFormat="1" ht="27" customHeight="1" thickBot="1" x14ac:dyDescent="0.45">
      <c r="A32" s="209" t="s">
        <v>54</v>
      </c>
      <c r="B32" s="291">
        <v>1</v>
      </c>
      <c r="C32" s="321" t="s">
        <v>55</v>
      </c>
      <c r="D32" s="322"/>
      <c r="E32" s="322"/>
      <c r="F32" s="322"/>
      <c r="G32" s="322"/>
      <c r="H32" s="323"/>
      <c r="I32" s="112"/>
      <c r="J32" s="112"/>
      <c r="K32" s="112"/>
      <c r="L32" s="286"/>
      <c r="M32" s="286"/>
      <c r="N32" s="118"/>
    </row>
    <row r="33" spans="1:14" s="16" customFormat="1" ht="17.25" customHeight="1" x14ac:dyDescent="0.3">
      <c r="A33" s="2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286"/>
      <c r="M33" s="286"/>
      <c r="N33" s="118"/>
    </row>
    <row r="34" spans="1:14" s="16" customFormat="1" ht="18.75" x14ac:dyDescent="0.3">
      <c r="A34" s="209" t="s">
        <v>56</v>
      </c>
      <c r="B34" s="121">
        <f>B31/B32</f>
        <v>1</v>
      </c>
      <c r="C34" s="290" t="s">
        <v>57</v>
      </c>
      <c r="D34" s="290"/>
      <c r="E34" s="290"/>
      <c r="F34" s="290"/>
      <c r="G34" s="290"/>
      <c r="I34" s="112"/>
      <c r="J34" s="112"/>
      <c r="K34" s="112"/>
      <c r="L34" s="286"/>
      <c r="M34" s="286"/>
      <c r="N34" s="118"/>
    </row>
    <row r="35" spans="1:14" s="16" customFormat="1" ht="19.5" customHeight="1" thickBot="1" x14ac:dyDescent="0.35">
      <c r="A35" s="209"/>
      <c r="B35" s="295"/>
      <c r="G35" s="290"/>
      <c r="I35" s="112"/>
      <c r="J35" s="112"/>
      <c r="K35" s="112"/>
      <c r="L35" s="286"/>
      <c r="M35" s="286"/>
      <c r="N35" s="118"/>
    </row>
    <row r="36" spans="1:14" s="16" customFormat="1" ht="27" customHeight="1" thickBot="1" x14ac:dyDescent="0.45">
      <c r="A36" s="122" t="s">
        <v>58</v>
      </c>
      <c r="B36" s="123">
        <v>10</v>
      </c>
      <c r="C36" s="290"/>
      <c r="D36" s="337" t="s">
        <v>59</v>
      </c>
      <c r="E36" s="338"/>
      <c r="F36" s="337" t="s">
        <v>60</v>
      </c>
      <c r="G36" s="339"/>
      <c r="J36" s="112"/>
      <c r="K36" s="112"/>
      <c r="L36" s="286"/>
      <c r="M36" s="286"/>
      <c r="N36" s="118"/>
    </row>
    <row r="37" spans="1:14" s="16" customFormat="1" ht="27" customHeight="1" thickBot="1" x14ac:dyDescent="0.45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286"/>
      <c r="M37" s="286"/>
      <c r="N37" s="118"/>
    </row>
    <row r="38" spans="1:14" s="16" customFormat="1" ht="26.25" customHeight="1" x14ac:dyDescent="0.4">
      <c r="A38" s="124" t="s">
        <v>66</v>
      </c>
      <c r="B38" s="125">
        <v>25</v>
      </c>
      <c r="C38" s="131">
        <v>1</v>
      </c>
      <c r="D38" s="132">
        <v>7807245</v>
      </c>
      <c r="E38" s="133">
        <f>IF(ISBLANK(D38),"-",$D$48/$D$45*D38)</f>
        <v>7980530.8980681757</v>
      </c>
      <c r="F38" s="132">
        <v>8587762</v>
      </c>
      <c r="G38" s="134">
        <f>IF(ISBLANK(F38),"-",$D$48/$F$45*F38)</f>
        <v>7866847.9396716692</v>
      </c>
      <c r="I38" s="135"/>
      <c r="J38" s="112"/>
      <c r="K38" s="112"/>
      <c r="L38" s="286"/>
      <c r="M38" s="286"/>
      <c r="N38" s="118"/>
    </row>
    <row r="39" spans="1:14" s="16" customFormat="1" ht="26.25" customHeight="1" x14ac:dyDescent="0.4">
      <c r="A39" s="124" t="s">
        <v>67</v>
      </c>
      <c r="B39" s="125">
        <v>1</v>
      </c>
      <c r="C39" s="156">
        <v>2</v>
      </c>
      <c r="D39" s="137">
        <v>7893334</v>
      </c>
      <c r="E39" s="138">
        <f>IF(ISBLANK(D39),"-",$D$48/$D$45*D39)</f>
        <v>8068530.688581191</v>
      </c>
      <c r="F39" s="137">
        <v>8655441</v>
      </c>
      <c r="G39" s="139">
        <f>IF(ISBLANK(F39),"-",$D$48/$F$45*F39)</f>
        <v>7928845.512695821</v>
      </c>
      <c r="I39" s="340">
        <f>ABS((F43/D43*D42)-F42)/D42</f>
        <v>1.8714177389146748E-2</v>
      </c>
      <c r="J39" s="112"/>
      <c r="K39" s="112"/>
      <c r="L39" s="286"/>
      <c r="M39" s="286"/>
      <c r="N39" s="118"/>
    </row>
    <row r="40" spans="1:14" ht="26.25" customHeight="1" x14ac:dyDescent="0.4">
      <c r="A40" s="124" t="s">
        <v>68</v>
      </c>
      <c r="B40" s="125">
        <v>20</v>
      </c>
      <c r="C40" s="156">
        <v>3</v>
      </c>
      <c r="D40" s="137">
        <v>7995173</v>
      </c>
      <c r="E40" s="138">
        <f>IF(ISBLANK(D40),"-",$D$48/$D$45*D40)</f>
        <v>8172630.0586058758</v>
      </c>
      <c r="F40" s="137">
        <v>8754706</v>
      </c>
      <c r="G40" s="139">
        <f>IF(ISBLANK(F40),"-",$D$48/$F$45*F40)</f>
        <v>8019777.5460627805</v>
      </c>
      <c r="I40" s="340"/>
      <c r="L40" s="286"/>
      <c r="M40" s="286"/>
      <c r="N40" s="290"/>
    </row>
    <row r="41" spans="1:14" ht="27" customHeight="1" thickBot="1" x14ac:dyDescent="0.45">
      <c r="A41" s="124" t="s">
        <v>69</v>
      </c>
      <c r="B41" s="125">
        <v>10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286"/>
      <c r="M41" s="286"/>
      <c r="N41" s="290"/>
    </row>
    <row r="42" spans="1:14" ht="27" customHeight="1" thickBot="1" x14ac:dyDescent="0.45">
      <c r="A42" s="124" t="s">
        <v>70</v>
      </c>
      <c r="B42" s="125">
        <v>50</v>
      </c>
      <c r="C42" s="146" t="s">
        <v>71</v>
      </c>
      <c r="D42" s="147">
        <f>AVERAGE(D38:D41)</f>
        <v>7898584</v>
      </c>
      <c r="E42" s="148">
        <f>AVERAGE(E38:E41)</f>
        <v>8073897.2150850808</v>
      </c>
      <c r="F42" s="147">
        <f>AVERAGE(F38:F41)</f>
        <v>8665969.666666666</v>
      </c>
      <c r="G42" s="149">
        <f>AVERAGE(G38:G41)</f>
        <v>7938490.3328100899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7.94</v>
      </c>
      <c r="E43" s="290"/>
      <c r="F43" s="152">
        <v>8.86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7.94</v>
      </c>
      <c r="E44" s="293"/>
      <c r="F44" s="154">
        <f>F43*$B$34</f>
        <v>8.86</v>
      </c>
      <c r="H44" s="150"/>
    </row>
    <row r="45" spans="1:14" ht="19.5" customHeight="1" thickBot="1" x14ac:dyDescent="0.35">
      <c r="A45" s="124" t="s">
        <v>76</v>
      </c>
      <c r="B45" s="156">
        <f>(B44/B43)*(B42/B41)*(B40/B39)*(B38/B37)*B36</f>
        <v>5000</v>
      </c>
      <c r="C45" s="153" t="s">
        <v>77</v>
      </c>
      <c r="D45" s="157">
        <f>D44*$B$30/100</f>
        <v>7.9241200000000003</v>
      </c>
      <c r="E45" s="294"/>
      <c r="F45" s="157">
        <f>F44*$B$30/100</f>
        <v>8.8422799999999988</v>
      </c>
      <c r="H45" s="150"/>
    </row>
    <row r="46" spans="1:14" ht="19.5" customHeight="1" thickBot="1" x14ac:dyDescent="0.35">
      <c r="A46" s="341" t="s">
        <v>78</v>
      </c>
      <c r="B46" s="342"/>
      <c r="C46" s="153" t="s">
        <v>79</v>
      </c>
      <c r="D46" s="159">
        <f>D45/$B$45</f>
        <v>1.5848240000000001E-3</v>
      </c>
      <c r="E46" s="160"/>
      <c r="F46" s="161">
        <f>F45/$B$45</f>
        <v>1.7684559999999998E-3</v>
      </c>
      <c r="H46" s="150"/>
    </row>
    <row r="47" spans="1:14" ht="27" customHeight="1" thickBot="1" x14ac:dyDescent="0.45">
      <c r="A47" s="343"/>
      <c r="B47" s="344"/>
      <c r="C47" s="288" t="s">
        <v>80</v>
      </c>
      <c r="D47" s="302">
        <v>1.6199999999999999E-3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8.1</v>
      </c>
      <c r="F48" s="166"/>
      <c r="H48" s="150"/>
    </row>
    <row r="49" spans="1:12" ht="19.5" customHeight="1" thickBot="1" x14ac:dyDescent="0.35">
      <c r="C49" s="167" t="s">
        <v>82</v>
      </c>
      <c r="D49" s="168">
        <f>D48/B34</f>
        <v>8.1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8006193.7739475854</v>
      </c>
      <c r="F50" s="170"/>
      <c r="H50" s="150"/>
    </row>
    <row r="51" spans="1:12" ht="18.75" x14ac:dyDescent="0.3">
      <c r="C51" s="124" t="s">
        <v>84</v>
      </c>
      <c r="D51" s="289">
        <f>STDEV(E38:E41,G38:G41)/D50</f>
        <v>1.3432772682257845E-2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290" t="s">
        <v>86</v>
      </c>
      <c r="B55" s="177" t="str">
        <f>B21</f>
        <v>Each tablet contains Sodium Bicarbonate 1.976g, Citric Acid 1.000g, Acetylsalicylic Acid 0.324g</v>
      </c>
    </row>
    <row r="56" spans="1:12" ht="26.25" customHeight="1" x14ac:dyDescent="0.4">
      <c r="A56" s="177" t="s">
        <v>87</v>
      </c>
      <c r="B56" s="178">
        <v>324</v>
      </c>
      <c r="C56" s="290" t="str">
        <f>B20</f>
        <v>Salicylic acid</v>
      </c>
      <c r="H56" s="293"/>
    </row>
    <row r="57" spans="1:12" ht="18.75" x14ac:dyDescent="0.3">
      <c r="A57" s="177" t="s">
        <v>88</v>
      </c>
      <c r="B57" s="247">
        <f>Uniformity!C46</f>
        <v>3301.7655</v>
      </c>
      <c r="H57" s="293"/>
    </row>
    <row r="58" spans="1:12" ht="19.5" customHeight="1" thickBot="1" x14ac:dyDescent="0.35">
      <c r="H58" s="293"/>
    </row>
    <row r="59" spans="1:12" s="16" customFormat="1" ht="27" customHeight="1" thickBot="1" x14ac:dyDescent="0.45">
      <c r="A59" s="122" t="s">
        <v>89</v>
      </c>
      <c r="B59" s="123">
        <v>100</v>
      </c>
      <c r="C59" s="290"/>
      <c r="D59" s="180" t="s">
        <v>90</v>
      </c>
      <c r="E59" s="270" t="s">
        <v>62</v>
      </c>
      <c r="F59" s="270" t="s">
        <v>63</v>
      </c>
      <c r="G59" s="270" t="s">
        <v>91</v>
      </c>
      <c r="H59" s="126" t="s">
        <v>92</v>
      </c>
      <c r="L59" s="112"/>
    </row>
    <row r="60" spans="1:12" s="16" customFormat="1" ht="26.25" customHeight="1" x14ac:dyDescent="0.4">
      <c r="A60" s="124" t="s">
        <v>93</v>
      </c>
      <c r="B60" s="125">
        <v>10</v>
      </c>
      <c r="C60" s="345" t="s">
        <v>94</v>
      </c>
      <c r="D60" s="348">
        <v>3302.62</v>
      </c>
      <c r="E60" s="275">
        <v>1</v>
      </c>
      <c r="F60" s="183">
        <v>9422722</v>
      </c>
      <c r="G60" s="248">
        <f>IF(ISBLANK(F60),"-",(F60/$D$50*$D$47*$B$68)*($B$57/$D$60))</f>
        <v>1.906131745747391</v>
      </c>
      <c r="H60" s="266">
        <f t="shared" ref="H60:H71" si="0">IF(ISBLANK(F60),"-",(G60/$B$56)*100)</f>
        <v>0.58831226720598484</v>
      </c>
      <c r="L60" s="112"/>
    </row>
    <row r="61" spans="1:12" s="16" customFormat="1" ht="26.25" customHeight="1" x14ac:dyDescent="0.4">
      <c r="A61" s="124" t="s">
        <v>95</v>
      </c>
      <c r="B61" s="125">
        <v>100</v>
      </c>
      <c r="C61" s="346"/>
      <c r="D61" s="349"/>
      <c r="E61" s="271">
        <v>2</v>
      </c>
      <c r="F61" s="137">
        <v>9529461</v>
      </c>
      <c r="G61" s="249">
        <f>IF(ISBLANK(F61),"-",(F61/$D$50*$D$47*$B$68)*($B$57/$D$60))</f>
        <v>1.9277240835463125</v>
      </c>
      <c r="H61" s="267">
        <f t="shared" si="0"/>
        <v>0.59497656899577556</v>
      </c>
      <c r="L61" s="112"/>
    </row>
    <row r="62" spans="1:12" s="16" customFormat="1" ht="26.25" customHeight="1" x14ac:dyDescent="0.4">
      <c r="A62" s="124" t="s">
        <v>96</v>
      </c>
      <c r="B62" s="125">
        <v>1</v>
      </c>
      <c r="C62" s="346"/>
      <c r="D62" s="349"/>
      <c r="E62" s="271">
        <v>3</v>
      </c>
      <c r="F62" s="185">
        <v>9685189</v>
      </c>
      <c r="G62" s="249">
        <f>IF(ISBLANK(F62),"-",(F62/$D$50*$D$47*$B$68)*($B$57/$D$60))</f>
        <v>1.9592264545704976</v>
      </c>
      <c r="H62" s="267">
        <f t="shared" si="0"/>
        <v>0.6046995230155856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347"/>
      <c r="D63" s="350"/>
      <c r="E63" s="272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45" t="s">
        <v>99</v>
      </c>
      <c r="D64" s="348">
        <v>3306.81</v>
      </c>
      <c r="E64" s="275">
        <v>1</v>
      </c>
      <c r="F64" s="183">
        <v>9651060</v>
      </c>
      <c r="G64" s="248">
        <f>IF(ISBLANK(F64),"-",(F64/$D$50*$D$47*$B$68)*($B$57/$D$64))</f>
        <v>1.9498487124395996</v>
      </c>
      <c r="H64" s="266">
        <f t="shared" si="0"/>
        <v>0.60180515816037028</v>
      </c>
    </row>
    <row r="65" spans="1:8" ht="26.25" customHeight="1" x14ac:dyDescent="0.4">
      <c r="A65" s="124" t="s">
        <v>100</v>
      </c>
      <c r="B65" s="125">
        <v>1</v>
      </c>
      <c r="C65" s="346"/>
      <c r="D65" s="349"/>
      <c r="E65" s="271">
        <v>2</v>
      </c>
      <c r="F65" s="137">
        <v>9823363</v>
      </c>
      <c r="G65" s="249">
        <f>IF(ISBLANK(F65),"-",(F65/$D$50*$D$47*$B$68)*($B$57/$D$64))</f>
        <v>1.984659892009458</v>
      </c>
      <c r="H65" s="267">
        <f t="shared" si="0"/>
        <v>0.61254934938563521</v>
      </c>
    </row>
    <row r="66" spans="1:8" ht="26.25" customHeight="1" x14ac:dyDescent="0.4">
      <c r="A66" s="124" t="s">
        <v>101</v>
      </c>
      <c r="B66" s="125">
        <v>1</v>
      </c>
      <c r="C66" s="346"/>
      <c r="D66" s="349"/>
      <c r="E66" s="271">
        <v>3</v>
      </c>
      <c r="F66" s="137">
        <v>9956420</v>
      </c>
      <c r="G66" s="249">
        <f>IF(ISBLANK(F66),"-",(F66/$D$50*$D$47*$B$68)*($B$57/$D$64))</f>
        <v>2.0115420189603914</v>
      </c>
      <c r="H66" s="267">
        <f t="shared" si="0"/>
        <v>0.62084630214826897</v>
      </c>
    </row>
    <row r="67" spans="1:8" ht="27" customHeight="1" thickBot="1" x14ac:dyDescent="0.45">
      <c r="A67" s="124" t="s">
        <v>102</v>
      </c>
      <c r="B67" s="125">
        <v>1</v>
      </c>
      <c r="C67" s="347"/>
      <c r="D67" s="350"/>
      <c r="E67" s="272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45" t="s">
        <v>104</v>
      </c>
      <c r="D68" s="348">
        <v>3297.3</v>
      </c>
      <c r="E68" s="275">
        <v>1</v>
      </c>
      <c r="F68" s="183">
        <v>9309297</v>
      </c>
      <c r="G68" s="248">
        <f>IF(ISBLANK(F68),"-",(F68/$D$50*$D$47*$B$68)*($B$57/$D$68))</f>
        <v>1.8862253019062261</v>
      </c>
      <c r="H68" s="267">
        <f t="shared" si="0"/>
        <v>0.58216830305747724</v>
      </c>
    </row>
    <row r="69" spans="1:8" ht="27" customHeight="1" thickBot="1" x14ac:dyDescent="0.45">
      <c r="A69" s="172" t="s">
        <v>105</v>
      </c>
      <c r="B69" s="189">
        <f>(D47*B68)/B56*B57</f>
        <v>16.508827499999999</v>
      </c>
      <c r="C69" s="346"/>
      <c r="D69" s="349"/>
      <c r="E69" s="271">
        <v>2</v>
      </c>
      <c r="F69" s="137">
        <v>9509042</v>
      </c>
      <c r="G69" s="249">
        <f>IF(ISBLANK(F69),"-",(F69/$D$50*$D$47*$B$68)*($B$57/$D$68))</f>
        <v>1.9266971090608649</v>
      </c>
      <c r="H69" s="267">
        <f t="shared" si="0"/>
        <v>0.59465960156199538</v>
      </c>
    </row>
    <row r="70" spans="1:8" ht="26.25" customHeight="1" x14ac:dyDescent="0.4">
      <c r="A70" s="352" t="s">
        <v>78</v>
      </c>
      <c r="B70" s="353"/>
      <c r="C70" s="346"/>
      <c r="D70" s="349"/>
      <c r="E70" s="271">
        <v>3</v>
      </c>
      <c r="F70" s="137">
        <v>9635649</v>
      </c>
      <c r="G70" s="249">
        <f>IF(ISBLANK(F70),"-",(F70/$D$50*$D$47*$B$68)*($B$57/$D$68))</f>
        <v>1.9523498867946123</v>
      </c>
      <c r="H70" s="267">
        <f t="shared" si="0"/>
        <v>0.60257712555389265</v>
      </c>
    </row>
    <row r="71" spans="1:8" ht="27" customHeight="1" thickBot="1" x14ac:dyDescent="0.45">
      <c r="A71" s="354"/>
      <c r="B71" s="355"/>
      <c r="C71" s="351"/>
      <c r="D71" s="350"/>
      <c r="E71" s="272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93"/>
      <c r="B72" s="293"/>
      <c r="C72" s="293"/>
      <c r="D72" s="293"/>
      <c r="E72" s="293"/>
      <c r="F72" s="192" t="s">
        <v>71</v>
      </c>
      <c r="G72" s="254">
        <f>AVERAGE(G60:G71)</f>
        <v>1.9449339116705946</v>
      </c>
      <c r="H72" s="269">
        <f>AVERAGE(H60:H71)</f>
        <v>0.60028824434277617</v>
      </c>
    </row>
    <row r="73" spans="1:8" ht="26.25" customHeight="1" x14ac:dyDescent="0.4">
      <c r="C73" s="293"/>
      <c r="D73" s="293"/>
      <c r="E73" s="293"/>
      <c r="F73" s="193" t="s">
        <v>84</v>
      </c>
      <c r="G73" s="256">
        <f>STDEV(G60:G71)/G72</f>
        <v>1.9812779470919448E-2</v>
      </c>
      <c r="H73" s="256">
        <f>STDEV(H60:H71)/H72</f>
        <v>1.9812779470919424E-2</v>
      </c>
    </row>
    <row r="74" spans="1:8" ht="27" customHeight="1" thickBot="1" x14ac:dyDescent="0.45">
      <c r="A74" s="293"/>
      <c r="B74" s="293"/>
      <c r="C74" s="293"/>
      <c r="D74" s="293"/>
      <c r="E74" s="2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287" t="s">
        <v>106</v>
      </c>
      <c r="B76" s="209" t="s">
        <v>107</v>
      </c>
      <c r="C76" s="336" t="str">
        <f>B26</f>
        <v>Salicylic acid</v>
      </c>
      <c r="D76" s="336"/>
      <c r="E76" s="290" t="s">
        <v>108</v>
      </c>
      <c r="F76" s="290"/>
      <c r="G76" s="199">
        <f>H72</f>
        <v>0.60028824434277617</v>
      </c>
      <c r="H76" s="295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287" t="s">
        <v>4</v>
      </c>
      <c r="B79" s="357"/>
      <c r="C79" s="357"/>
    </row>
    <row r="80" spans="1:8" ht="26.25" customHeight="1" x14ac:dyDescent="0.4">
      <c r="A80" s="209" t="s">
        <v>48</v>
      </c>
      <c r="B80" s="357"/>
      <c r="C80" s="357"/>
    </row>
    <row r="81" spans="1:12" ht="27" customHeight="1" thickBot="1" x14ac:dyDescent="0.45">
      <c r="A81" s="209" t="s">
        <v>6</v>
      </c>
      <c r="B81" s="201"/>
    </row>
    <row r="82" spans="1:12" s="16" customFormat="1" ht="27" customHeight="1" thickBot="1" x14ac:dyDescent="0.45">
      <c r="A82" s="209" t="s">
        <v>49</v>
      </c>
      <c r="B82" s="111">
        <v>0</v>
      </c>
      <c r="C82" s="333" t="s">
        <v>50</v>
      </c>
      <c r="D82" s="334"/>
      <c r="E82" s="334"/>
      <c r="F82" s="334"/>
      <c r="G82" s="335"/>
      <c r="I82" s="112"/>
      <c r="J82" s="112"/>
      <c r="K82" s="112"/>
      <c r="L82" s="112"/>
    </row>
    <row r="83" spans="1:12" s="16" customFormat="1" ht="19.5" customHeight="1" thickBot="1" x14ac:dyDescent="0.35">
      <c r="A83" s="209" t="s">
        <v>51</v>
      </c>
      <c r="B83" s="295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09" t="s">
        <v>52</v>
      </c>
      <c r="B84" s="291">
        <v>154.46</v>
      </c>
      <c r="C84" s="321" t="s">
        <v>111</v>
      </c>
      <c r="D84" s="322"/>
      <c r="E84" s="322"/>
      <c r="F84" s="322"/>
      <c r="G84" s="322"/>
      <c r="H84" s="323"/>
      <c r="I84" s="112"/>
      <c r="J84" s="112"/>
      <c r="K84" s="112"/>
      <c r="L84" s="112"/>
    </row>
    <row r="85" spans="1:12" s="16" customFormat="1" ht="27" customHeight="1" thickBot="1" x14ac:dyDescent="0.45">
      <c r="A85" s="209" t="s">
        <v>54</v>
      </c>
      <c r="B85" s="291">
        <v>165.23</v>
      </c>
      <c r="C85" s="321" t="s">
        <v>112</v>
      </c>
      <c r="D85" s="322"/>
      <c r="E85" s="322"/>
      <c r="F85" s="322"/>
      <c r="G85" s="322"/>
      <c r="H85" s="323"/>
      <c r="I85" s="112"/>
      <c r="J85" s="112"/>
      <c r="K85" s="112"/>
      <c r="L85" s="112"/>
    </row>
    <row r="86" spans="1:12" s="16" customFormat="1" ht="18.75" x14ac:dyDescent="0.3">
      <c r="A86" s="2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09" t="s">
        <v>56</v>
      </c>
      <c r="B87" s="121">
        <f>B84/B85</f>
        <v>0.93481813230042976</v>
      </c>
      <c r="C87" s="290" t="s">
        <v>57</v>
      </c>
      <c r="D87" s="290"/>
      <c r="E87" s="290"/>
      <c r="F87" s="290"/>
      <c r="G87" s="290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58</v>
      </c>
      <c r="B89" s="123">
        <v>1</v>
      </c>
      <c r="D89" s="297" t="s">
        <v>59</v>
      </c>
      <c r="E89" s="300"/>
      <c r="F89" s="337" t="s">
        <v>60</v>
      </c>
      <c r="G89" s="339"/>
    </row>
    <row r="90" spans="1:12" ht="27" customHeight="1" thickBot="1" x14ac:dyDescent="0.45">
      <c r="A90" s="124" t="s">
        <v>61</v>
      </c>
      <c r="B90" s="125">
        <v>1</v>
      </c>
      <c r="C90" s="296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293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40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293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40"/>
    </row>
    <row r="94" spans="1:12" ht="27" customHeight="1" thickBo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201">
        <v>1</v>
      </c>
      <c r="C96" s="213" t="s">
        <v>113</v>
      </c>
      <c r="D96" s="214"/>
      <c r="E96" s="290"/>
      <c r="F96" s="152"/>
    </row>
    <row r="97" spans="1:10" ht="26.25" customHeight="1" x14ac:dyDescent="0.4">
      <c r="A97" s="124" t="s">
        <v>74</v>
      </c>
      <c r="B97" s="201">
        <v>1</v>
      </c>
      <c r="C97" s="215" t="s">
        <v>114</v>
      </c>
      <c r="D97" s="216">
        <f>D96*$B$87</f>
        <v>0</v>
      </c>
      <c r="E97" s="293"/>
      <c r="F97" s="154">
        <f>F96*$B$87</f>
        <v>0</v>
      </c>
    </row>
    <row r="98" spans="1:10" ht="19.5" customHeight="1" thickBot="1" x14ac:dyDescent="0.35">
      <c r="A98" s="124" t="s">
        <v>76</v>
      </c>
      <c r="B98" s="293">
        <f>(B97/B96)*(B95/B94)*(B93/B92)*(B91/B90)*B89</f>
        <v>1</v>
      </c>
      <c r="C98" s="215" t="s">
        <v>115</v>
      </c>
      <c r="D98" s="218">
        <f>D97*$B$83/100</f>
        <v>0</v>
      </c>
      <c r="E98" s="294"/>
      <c r="F98" s="157">
        <f>F97*$B$83/100</f>
        <v>0</v>
      </c>
    </row>
    <row r="99" spans="1:10" ht="19.5" customHeight="1" thickBot="1" x14ac:dyDescent="0.35">
      <c r="A99" s="341" t="s">
        <v>78</v>
      </c>
      <c r="B99" s="358"/>
      <c r="C99" s="215" t="s">
        <v>116</v>
      </c>
      <c r="D99" s="219">
        <f>D98/$B$98</f>
        <v>0</v>
      </c>
      <c r="E99" s="294"/>
      <c r="F99" s="161">
        <f>F98/$B$98</f>
        <v>0</v>
      </c>
      <c r="H99" s="150"/>
    </row>
    <row r="100" spans="1:10" ht="19.5" customHeight="1" thickBot="1" x14ac:dyDescent="0.35">
      <c r="A100" s="343"/>
      <c r="B100" s="359"/>
      <c r="C100" s="215" t="s">
        <v>80</v>
      </c>
      <c r="D100" s="221">
        <f>$B$56/$B$116</f>
        <v>324</v>
      </c>
      <c r="F100" s="166"/>
      <c r="G100" s="228"/>
      <c r="H100" s="150"/>
    </row>
    <row r="101" spans="1:10" ht="18.75" x14ac:dyDescent="0.3">
      <c r="C101" s="215" t="s">
        <v>81</v>
      </c>
      <c r="D101" s="216">
        <f>D100*$B$98</f>
        <v>324</v>
      </c>
      <c r="F101" s="166"/>
      <c r="H101" s="150"/>
    </row>
    <row r="102" spans="1:10" ht="19.5" customHeight="1" thickBot="1" x14ac:dyDescent="0.35">
      <c r="C102" s="223" t="s">
        <v>82</v>
      </c>
      <c r="D102" s="224">
        <f>D101/B34</f>
        <v>324</v>
      </c>
      <c r="F102" s="17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92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H104" s="150"/>
      <c r="J104" s="292"/>
    </row>
    <row r="105" spans="1:10" ht="19.5" customHeight="1" thickBot="1" x14ac:dyDescent="0.35">
      <c r="C105" s="195" t="s">
        <v>20</v>
      </c>
      <c r="D105" s="231">
        <f>COUNT(E91:E94,G91:G94)</f>
        <v>0</v>
      </c>
      <c r="F105" s="170"/>
      <c r="H105" s="150"/>
      <c r="J105" s="292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7" customHeight="1" thickBot="1" x14ac:dyDescent="0.45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80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80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80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80" t="str">
        <f t="shared" si="2"/>
        <v>-</v>
      </c>
    </row>
    <row r="113" spans="1:10" ht="27" customHeight="1" thickBot="1" x14ac:dyDescent="0.45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thickBot="1" x14ac:dyDescent="0.45">
      <c r="A114" s="124" t="s">
        <v>101</v>
      </c>
      <c r="B114" s="125">
        <v>1</v>
      </c>
      <c r="C114" s="233"/>
      <c r="D114" s="293"/>
      <c r="E114" s="290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thickBot="1" x14ac:dyDescent="0.45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290"/>
    </row>
    <row r="117" spans="1:10" ht="27" customHeight="1" thickBot="1" x14ac:dyDescent="0.45">
      <c r="A117" s="341" t="s">
        <v>78</v>
      </c>
      <c r="B117" s="342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290"/>
      <c r="J117" s="292"/>
    </row>
    <row r="118" spans="1:10" ht="26.25" customHeight="1" thickBot="1" x14ac:dyDescent="0.35">
      <c r="A118" s="343"/>
      <c r="B118" s="344"/>
      <c r="C118" s="290"/>
      <c r="D118" s="260"/>
      <c r="E118" s="360" t="s">
        <v>123</v>
      </c>
      <c r="F118" s="361"/>
      <c r="G118" s="290"/>
      <c r="H118" s="290"/>
      <c r="I118" s="290"/>
    </row>
    <row r="119" spans="1:10" ht="25.5" customHeight="1" x14ac:dyDescent="0.4">
      <c r="A119" s="245"/>
      <c r="B119" s="120"/>
      <c r="C119" s="290"/>
      <c r="D119" s="258" t="s">
        <v>124</v>
      </c>
      <c r="E119" s="263">
        <f>MIN(E108:E113)</f>
        <v>0</v>
      </c>
      <c r="F119" s="282">
        <f>MIN(F108:F113)</f>
        <v>0</v>
      </c>
      <c r="G119" s="290"/>
      <c r="H119" s="290"/>
      <c r="I119" s="290"/>
    </row>
    <row r="120" spans="1:10" ht="24" customHeight="1" thickBot="1" x14ac:dyDescent="0.45">
      <c r="A120" s="245"/>
      <c r="B120" s="120"/>
      <c r="C120" s="290"/>
      <c r="D120" s="167" t="s">
        <v>125</v>
      </c>
      <c r="E120" s="264">
        <f>MAX(E108:E113)</f>
        <v>0</v>
      </c>
      <c r="F120" s="283">
        <f>MAX(F108:F113)</f>
        <v>0</v>
      </c>
      <c r="G120" s="290"/>
      <c r="H120" s="290"/>
      <c r="I120" s="290"/>
    </row>
    <row r="121" spans="1:10" ht="27" customHeight="1" x14ac:dyDescent="0.3">
      <c r="A121" s="245"/>
      <c r="B121" s="120"/>
      <c r="C121" s="290"/>
      <c r="D121" s="290"/>
      <c r="E121" s="290"/>
      <c r="F121" s="293"/>
      <c r="G121" s="290"/>
      <c r="H121" s="290"/>
      <c r="I121" s="290"/>
    </row>
    <row r="122" spans="1:10" ht="25.5" customHeight="1" x14ac:dyDescent="0.3">
      <c r="A122" s="245"/>
      <c r="B122" s="120"/>
      <c r="C122" s="290"/>
      <c r="D122" s="290"/>
      <c r="E122" s="290"/>
      <c r="F122" s="293"/>
      <c r="G122" s="290"/>
      <c r="H122" s="290"/>
      <c r="I122" s="290"/>
    </row>
    <row r="123" spans="1:10" ht="18.75" x14ac:dyDescent="0.3">
      <c r="A123" s="245"/>
      <c r="B123" s="120"/>
      <c r="C123" s="290"/>
      <c r="D123" s="290"/>
      <c r="E123" s="290"/>
      <c r="F123" s="293"/>
      <c r="G123" s="290"/>
      <c r="H123" s="290"/>
      <c r="I123" s="290"/>
    </row>
    <row r="124" spans="1:10" ht="45.75" customHeight="1" x14ac:dyDescent="0.65">
      <c r="A124" s="287" t="s">
        <v>106</v>
      </c>
      <c r="B124" s="209" t="s">
        <v>126</v>
      </c>
      <c r="C124" s="336" t="str">
        <f>B26</f>
        <v>Salicylic acid</v>
      </c>
      <c r="D124" s="336"/>
      <c r="E124" s="290" t="s">
        <v>127</v>
      </c>
      <c r="F124" s="290"/>
      <c r="G124" s="284" t="e">
        <f>F115</f>
        <v>#DIV/0!</v>
      </c>
      <c r="H124" s="290"/>
      <c r="I124" s="290"/>
    </row>
    <row r="125" spans="1:10" ht="45.75" customHeight="1" x14ac:dyDescent="0.65">
      <c r="A125" s="287"/>
      <c r="B125" s="209" t="s">
        <v>128</v>
      </c>
      <c r="C125" s="2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290"/>
      <c r="I125" s="290"/>
    </row>
    <row r="126" spans="1:10" ht="19.5" customHeight="1" thickBot="1" x14ac:dyDescent="0.35">
      <c r="A126" s="298"/>
      <c r="B126" s="298"/>
      <c r="C126" s="238"/>
      <c r="D126" s="238"/>
      <c r="E126" s="238"/>
      <c r="F126" s="238"/>
      <c r="G126" s="238"/>
      <c r="H126" s="238"/>
    </row>
    <row r="127" spans="1:10" ht="18.75" x14ac:dyDescent="0.3">
      <c r="B127" s="356" t="s">
        <v>26</v>
      </c>
      <c r="C127" s="356"/>
      <c r="E127" s="296" t="s">
        <v>27</v>
      </c>
      <c r="F127" s="239"/>
      <c r="G127" s="356" t="s">
        <v>28</v>
      </c>
      <c r="H127" s="356"/>
    </row>
    <row r="128" spans="1:10" ht="69.95" customHeight="1" x14ac:dyDescent="0.3">
      <c r="A128" s="287" t="s">
        <v>29</v>
      </c>
      <c r="B128" s="242"/>
      <c r="C128" s="242"/>
      <c r="E128" s="242"/>
      <c r="F128" s="290"/>
      <c r="G128" s="242"/>
      <c r="H128" s="242"/>
    </row>
    <row r="129" spans="1:9" ht="69.95" customHeight="1" x14ac:dyDescent="0.3">
      <c r="A129" s="287" t="s">
        <v>30</v>
      </c>
      <c r="B129" s="243"/>
      <c r="C129" s="243"/>
      <c r="E129" s="243"/>
      <c r="F129" s="290"/>
      <c r="G129" s="244"/>
      <c r="H129" s="244"/>
    </row>
    <row r="130" spans="1:9" ht="18.75" x14ac:dyDescent="0.3">
      <c r="A130" s="293"/>
      <c r="B130" s="293"/>
      <c r="C130" s="293"/>
      <c r="D130" s="293"/>
      <c r="E130" s="293"/>
      <c r="F130" s="294"/>
      <c r="G130" s="293"/>
      <c r="H130" s="293"/>
      <c r="I130" s="290"/>
    </row>
    <row r="131" spans="1:9" ht="18.75" x14ac:dyDescent="0.3">
      <c r="A131" s="293"/>
      <c r="B131" s="293"/>
      <c r="C131" s="293"/>
      <c r="D131" s="293"/>
      <c r="E131" s="293"/>
      <c r="F131" s="294"/>
      <c r="G131" s="293"/>
      <c r="H131" s="293"/>
      <c r="I131" s="290"/>
    </row>
    <row r="132" spans="1:9" ht="18.75" x14ac:dyDescent="0.3">
      <c r="A132" s="293"/>
      <c r="B132" s="293"/>
      <c r="C132" s="293"/>
      <c r="D132" s="293"/>
      <c r="E132" s="293"/>
      <c r="F132" s="294"/>
      <c r="G132" s="293"/>
      <c r="H132" s="293"/>
      <c r="I132" s="290"/>
    </row>
    <row r="133" spans="1:9" ht="18.75" x14ac:dyDescent="0.3">
      <c r="A133" s="293"/>
      <c r="B133" s="293"/>
      <c r="C133" s="293"/>
      <c r="D133" s="293"/>
      <c r="E133" s="293"/>
      <c r="F133" s="294"/>
      <c r="G133" s="293"/>
      <c r="H133" s="293"/>
      <c r="I133" s="290"/>
    </row>
    <row r="134" spans="1:9" ht="18.75" x14ac:dyDescent="0.3">
      <c r="A134" s="293"/>
      <c r="B134" s="293"/>
      <c r="C134" s="293"/>
      <c r="D134" s="293"/>
      <c r="E134" s="293"/>
      <c r="F134" s="294"/>
      <c r="G134" s="293"/>
      <c r="H134" s="293"/>
      <c r="I134" s="290"/>
    </row>
    <row r="135" spans="1:9" ht="18.75" x14ac:dyDescent="0.3">
      <c r="A135" s="293"/>
      <c r="B135" s="293"/>
      <c r="C135" s="293"/>
      <c r="D135" s="293"/>
      <c r="E135" s="293"/>
      <c r="F135" s="294"/>
      <c r="G135" s="293"/>
      <c r="H135" s="293"/>
      <c r="I135" s="290"/>
    </row>
    <row r="136" spans="1:9" ht="18.75" x14ac:dyDescent="0.3">
      <c r="A136" s="293"/>
      <c r="B136" s="293"/>
      <c r="C136" s="293"/>
      <c r="D136" s="293"/>
      <c r="E136" s="293"/>
      <c r="F136" s="294"/>
      <c r="G136" s="293"/>
      <c r="H136" s="293"/>
      <c r="I136" s="290"/>
    </row>
    <row r="137" spans="1:9" ht="18.75" x14ac:dyDescent="0.3">
      <c r="A137" s="293"/>
      <c r="B137" s="293"/>
      <c r="C137" s="293"/>
      <c r="D137" s="293"/>
      <c r="E137" s="293"/>
      <c r="F137" s="294"/>
      <c r="G137" s="293"/>
      <c r="H137" s="293"/>
      <c r="I137" s="290"/>
    </row>
    <row r="138" spans="1:9" ht="18.75" x14ac:dyDescent="0.3">
      <c r="A138" s="293"/>
      <c r="B138" s="293"/>
      <c r="C138" s="293"/>
      <c r="D138" s="293"/>
      <c r="E138" s="293"/>
      <c r="F138" s="294"/>
      <c r="G138" s="293"/>
      <c r="H138" s="293"/>
      <c r="I138" s="290"/>
    </row>
    <row r="250" spans="1:1" x14ac:dyDescent="0.25">
      <c r="A250" s="22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5" zoomScale="50" zoomScaleNormal="40" zoomScalePageLayoutView="50" workbookViewId="0">
      <selection activeCell="H72" sqref="H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">
      <c r="A15" s="98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33</v>
      </c>
      <c r="B18" s="330" t="s">
        <v>5</v>
      </c>
      <c r="C18" s="33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9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>
        <v>42373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42375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0" t="s">
        <v>9</v>
      </c>
      <c r="C26" s="330"/>
    </row>
    <row r="27" spans="1:14" ht="26.25" customHeight="1" x14ac:dyDescent="0.4">
      <c r="A27" s="109" t="s">
        <v>48</v>
      </c>
      <c r="B27" s="332" t="s">
        <v>131</v>
      </c>
      <c r="C27" s="332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>
        <v>0</v>
      </c>
      <c r="C29" s="333" t="s">
        <v>50</v>
      </c>
      <c r="D29" s="334"/>
      <c r="E29" s="334"/>
      <c r="F29" s="334"/>
      <c r="G29" s="33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21" t="s">
        <v>53</v>
      </c>
      <c r="D31" s="322"/>
      <c r="E31" s="322"/>
      <c r="F31" s="322"/>
      <c r="G31" s="322"/>
      <c r="H31" s="32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21" t="s">
        <v>55</v>
      </c>
      <c r="D32" s="322"/>
      <c r="E32" s="322"/>
      <c r="F32" s="322"/>
      <c r="G32" s="322"/>
      <c r="H32" s="32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37" t="s">
        <v>59</v>
      </c>
      <c r="E36" s="338"/>
      <c r="F36" s="337" t="s">
        <v>60</v>
      </c>
      <c r="G36" s="33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17950994</v>
      </c>
      <c r="E38" s="133">
        <f>IF(ISBLANK(D38),"-",$D$48/$D$45*D38)</f>
        <v>19227027.741083223</v>
      </c>
      <c r="F38" s="132">
        <v>19301578</v>
      </c>
      <c r="G38" s="134">
        <f>IF(ISBLANK(F38),"-",$D$48/$F$45*F38)</f>
        <v>18906587.868448332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17934993</v>
      </c>
      <c r="E39" s="138">
        <f>IF(ISBLANK(D39),"-",$D$48/$D$45*D39)</f>
        <v>19209889.321289584</v>
      </c>
      <c r="F39" s="137">
        <v>19298622</v>
      </c>
      <c r="G39" s="139">
        <f>IF(ISBLANK(F39),"-",$D$48/$F$45*F39)</f>
        <v>18903692.360436544</v>
      </c>
      <c r="I39" s="340">
        <f>ABS((F43/D43*D42)-F42)/D42</f>
        <v>1.7745703535259748E-2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17930356</v>
      </c>
      <c r="E40" s="138">
        <f>IF(ISBLANK(D40),"-",$D$48/$D$45*D40)</f>
        <v>19204922.703416757</v>
      </c>
      <c r="F40" s="137">
        <v>19290865</v>
      </c>
      <c r="G40" s="139">
        <f>IF(ISBLANK(F40),"-",$D$48/$F$45*F40)</f>
        <v>18896094.100745261</v>
      </c>
      <c r="I40" s="34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17938781</v>
      </c>
      <c r="E42" s="148">
        <f>AVERAGE(E38:E41)</f>
        <v>19213946.588596519</v>
      </c>
      <c r="F42" s="147">
        <f>AVERAGE(F38:F41)</f>
        <v>19297021.666666668</v>
      </c>
      <c r="G42" s="149">
        <f>AVERAGE(G38:G41)</f>
        <v>18902124.776543379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30.28</v>
      </c>
      <c r="E43" s="140"/>
      <c r="F43" s="152">
        <v>33.11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30.28</v>
      </c>
      <c r="E44" s="155"/>
      <c r="F44" s="154">
        <f>F43*$B$34</f>
        <v>33.11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30.249720000000003</v>
      </c>
      <c r="E45" s="158"/>
      <c r="F45" s="157">
        <f>F44*$B$30/100</f>
        <v>33.076890000000006</v>
      </c>
      <c r="H45" s="150"/>
    </row>
    <row r="46" spans="1:14" ht="19.5" customHeight="1" x14ac:dyDescent="0.3">
      <c r="A46" s="341" t="s">
        <v>78</v>
      </c>
      <c r="B46" s="342"/>
      <c r="C46" s="153" t="s">
        <v>79</v>
      </c>
      <c r="D46" s="159">
        <f>D45/$B$45</f>
        <v>0.30249720000000002</v>
      </c>
      <c r="E46" s="160"/>
      <c r="F46" s="161">
        <f>F45/$B$45</f>
        <v>0.33076890000000003</v>
      </c>
      <c r="H46" s="150"/>
    </row>
    <row r="47" spans="1:14" ht="27" customHeight="1" x14ac:dyDescent="0.4">
      <c r="A47" s="343"/>
      <c r="B47" s="344"/>
      <c r="C47" s="162" t="s">
        <v>80</v>
      </c>
      <c r="D47" s="163">
        <v>0.32400000000000001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32.4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32.4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19058035.682569947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8.971734452060216E-3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Sodium Bicarbonate 1.976g, Citric Acid 1.000g, Acetylsalicylic Acid 0.324g</v>
      </c>
    </row>
    <row r="56" spans="1:12" ht="26.25" customHeight="1" x14ac:dyDescent="0.4">
      <c r="A56" s="177" t="s">
        <v>87</v>
      </c>
      <c r="B56" s="178">
        <v>324</v>
      </c>
      <c r="C56" s="99" t="str">
        <f>B20</f>
        <v>Acetyl salicylic acid</v>
      </c>
      <c r="H56" s="179"/>
    </row>
    <row r="57" spans="1:12" ht="18.75" x14ac:dyDescent="0.3">
      <c r="A57" s="176" t="s">
        <v>88</v>
      </c>
      <c r="B57" s="247">
        <f>Uniformity!C46</f>
        <v>3301.7655</v>
      </c>
      <c r="H57" s="179"/>
    </row>
    <row r="58" spans="1:12" ht="19.5" customHeight="1" x14ac:dyDescent="0.3">
      <c r="H58" s="179"/>
    </row>
    <row r="59" spans="1:12" s="14" customFormat="1" ht="27" customHeight="1" thickBo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45" t="s">
        <v>94</v>
      </c>
      <c r="D60" s="348">
        <v>3302.62</v>
      </c>
      <c r="E60" s="182">
        <v>1</v>
      </c>
      <c r="F60" s="183">
        <v>19098031</v>
      </c>
      <c r="G60" s="248">
        <f>IF(ISBLANK(F60),"-",(F60/$D$50*$D$47*$B$68)*($B$57/$D$60))</f>
        <v>324.59594277015077</v>
      </c>
      <c r="H60" s="266">
        <f>IF(ISBLANK(F60),"-",(G60/$B$56)*100)</f>
        <v>100.18393295375023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46"/>
      <c r="D61" s="349"/>
      <c r="E61" s="184">
        <v>2</v>
      </c>
      <c r="F61" s="137">
        <v>19076857</v>
      </c>
      <c r="G61" s="249">
        <f>IF(ISBLANK(F61),"-",(F61/$D$50*$D$47*$B$68)*($B$57/$D$60))</f>
        <v>324.23606302693463</v>
      </c>
      <c r="H61" s="267">
        <f>IF(ISBLANK(F61),"-",(G61/$B$56)*100)</f>
        <v>100.07285895893044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46"/>
      <c r="D62" s="349"/>
      <c r="E62" s="184">
        <v>3</v>
      </c>
      <c r="F62" s="185">
        <v>19184857</v>
      </c>
      <c r="G62" s="249">
        <f>IF(ISBLANK(F62),"-",(F62/$D$50*$D$47*$B$68)*($B$57/$D$60))</f>
        <v>326.07166387076904</v>
      </c>
      <c r="H62" s="267">
        <f t="shared" ref="H62:H71" si="0">IF(ISBLANK(F62),"-",(G62/$B$56)*100)</f>
        <v>100.63940242924971</v>
      </c>
      <c r="L62" s="112"/>
    </row>
    <row r="63" spans="1:12" ht="27" customHeight="1" x14ac:dyDescent="0.4">
      <c r="A63" s="124" t="s">
        <v>97</v>
      </c>
      <c r="B63" s="125">
        <v>1</v>
      </c>
      <c r="C63" s="347"/>
      <c r="D63" s="35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45" t="s">
        <v>99</v>
      </c>
      <c r="D64" s="348">
        <v>3306.81</v>
      </c>
      <c r="E64" s="182">
        <v>1</v>
      </c>
      <c r="F64" s="183">
        <v>19388068</v>
      </c>
      <c r="G64" s="248">
        <f>IF(ISBLANK(F64),"-",(F64/$D$50*$D$47*$B$68)*($B$57/$D$64))</f>
        <v>329.10796393885272</v>
      </c>
      <c r="H64" s="266">
        <f t="shared" si="0"/>
        <v>101.57653207989281</v>
      </c>
    </row>
    <row r="65" spans="1:8" ht="26.25" customHeight="1" x14ac:dyDescent="0.4">
      <c r="A65" s="124" t="s">
        <v>100</v>
      </c>
      <c r="B65" s="125">
        <v>1</v>
      </c>
      <c r="C65" s="346"/>
      <c r="D65" s="349"/>
      <c r="E65" s="184">
        <v>2</v>
      </c>
      <c r="F65" s="137">
        <v>19428433</v>
      </c>
      <c r="G65" s="249">
        <f>IF(ISBLANK(F65),"-",(F65/$D$50*$D$47*$B$68)*($B$57/$D$64))</f>
        <v>329.79315046514262</v>
      </c>
      <c r="H65" s="267">
        <f t="shared" si="0"/>
        <v>101.7880094028218</v>
      </c>
    </row>
    <row r="66" spans="1:8" ht="26.25" customHeight="1" x14ac:dyDescent="0.4">
      <c r="A66" s="124" t="s">
        <v>101</v>
      </c>
      <c r="B66" s="125">
        <v>1</v>
      </c>
      <c r="C66" s="346"/>
      <c r="D66" s="349"/>
      <c r="E66" s="184">
        <v>3</v>
      </c>
      <c r="F66" s="137">
        <v>19453989</v>
      </c>
      <c r="G66" s="249">
        <f>IF(ISBLANK(F66),"-",(F66/$D$50*$D$47*$B$68)*($B$57/$D$64))</f>
        <v>330.22695764626144</v>
      </c>
      <c r="H66" s="267">
        <f t="shared" si="0"/>
        <v>101.9219005081054</v>
      </c>
    </row>
    <row r="67" spans="1:8" ht="27" customHeight="1" x14ac:dyDescent="0.4">
      <c r="A67" s="124" t="s">
        <v>102</v>
      </c>
      <c r="B67" s="125">
        <v>1</v>
      </c>
      <c r="C67" s="347"/>
      <c r="D67" s="35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45" t="s">
        <v>104</v>
      </c>
      <c r="D68" s="348">
        <v>3297.3</v>
      </c>
      <c r="E68" s="182">
        <v>1</v>
      </c>
      <c r="F68" s="183">
        <v>19435338</v>
      </c>
      <c r="G68" s="248">
        <f>IF(ISBLANK(F68),"-",(F68/$D$50*$D$47*$B$68)*($B$57/$D$68))</f>
        <v>330.86188143483099</v>
      </c>
      <c r="H68" s="267">
        <f t="shared" si="0"/>
        <v>102.11786464037993</v>
      </c>
    </row>
    <row r="69" spans="1:8" ht="27" customHeight="1" x14ac:dyDescent="0.4">
      <c r="A69" s="172" t="s">
        <v>105</v>
      </c>
      <c r="B69" s="189">
        <f>(D47*B68)/B56*B57</f>
        <v>3301.7655</v>
      </c>
      <c r="C69" s="346"/>
      <c r="D69" s="349"/>
      <c r="E69" s="184">
        <v>2</v>
      </c>
      <c r="F69" s="137">
        <v>19597395</v>
      </c>
      <c r="G69" s="249">
        <f>IF(ISBLANK(F69),"-",(F69/$D$50*$D$47*$B$68)*($B$57/$D$68))</f>
        <v>333.62069550432062</v>
      </c>
      <c r="H69" s="267">
        <f t="shared" si="0"/>
        <v>102.9693504642965</v>
      </c>
    </row>
    <row r="70" spans="1:8" ht="26.25" customHeight="1" x14ac:dyDescent="0.4">
      <c r="A70" s="352" t="s">
        <v>78</v>
      </c>
      <c r="B70" s="353"/>
      <c r="C70" s="346"/>
      <c r="D70" s="349"/>
      <c r="E70" s="184">
        <v>3</v>
      </c>
      <c r="F70" s="137">
        <v>19549334</v>
      </c>
      <c r="G70" s="249">
        <f>IF(ISBLANK(F70),"-",(F70/$D$50*$D$47*$B$68)*($B$57/$D$68))</f>
        <v>332.80251817786296</v>
      </c>
      <c r="H70" s="267">
        <f t="shared" si="0"/>
        <v>102.71682659810585</v>
      </c>
    </row>
    <row r="71" spans="1:8" ht="27" customHeight="1" x14ac:dyDescent="0.4">
      <c r="A71" s="354"/>
      <c r="B71" s="355"/>
      <c r="C71" s="351"/>
      <c r="D71" s="35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329.03520409279179</v>
      </c>
      <c r="H72" s="269">
        <f>AVERAGE(H60:H71)</f>
        <v>101.5540753372814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1.0310732838995884E-2</v>
      </c>
      <c r="H73" s="253">
        <f>STDEV(H60:H71)/H72</f>
        <v>1.0310732838995914E-2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36" t="str">
        <f>B26</f>
        <v>Acetyl salicylic acid</v>
      </c>
      <c r="D76" s="336"/>
      <c r="E76" s="198" t="s">
        <v>108</v>
      </c>
      <c r="F76" s="198"/>
      <c r="G76" s="199">
        <f>H72</f>
        <v>101.5540753372814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57"/>
      <c r="C79" s="357"/>
    </row>
    <row r="80" spans="1:8" ht="26.25" customHeight="1" x14ac:dyDescent="0.4">
      <c r="A80" s="109" t="s">
        <v>48</v>
      </c>
      <c r="B80" s="357"/>
      <c r="C80" s="357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333" t="s">
        <v>50</v>
      </c>
      <c r="D82" s="334"/>
      <c r="E82" s="334"/>
      <c r="F82" s="334"/>
      <c r="G82" s="33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21" t="s">
        <v>111</v>
      </c>
      <c r="D84" s="322"/>
      <c r="E84" s="322"/>
      <c r="F84" s="322"/>
      <c r="G84" s="322"/>
      <c r="H84" s="32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21" t="s">
        <v>112</v>
      </c>
      <c r="D85" s="322"/>
      <c r="E85" s="322"/>
      <c r="F85" s="322"/>
      <c r="G85" s="322"/>
      <c r="H85" s="32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337" t="s">
        <v>60</v>
      </c>
      <c r="G89" s="339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40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40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341" t="s">
        <v>78</v>
      </c>
      <c r="B99" s="358"/>
      <c r="C99" s="215" t="s">
        <v>116</v>
      </c>
      <c r="D99" s="219">
        <f>D98/$B$98</f>
        <v>0</v>
      </c>
      <c r="E99" s="158"/>
      <c r="F99" s="161">
        <f>F98/$B$98</f>
        <v>0</v>
      </c>
      <c r="G99" s="220"/>
      <c r="H99" s="150"/>
    </row>
    <row r="100" spans="1:10" ht="19.5" customHeight="1" x14ac:dyDescent="0.3">
      <c r="A100" s="343"/>
      <c r="B100" s="359"/>
      <c r="C100" s="215" t="s">
        <v>80</v>
      </c>
      <c r="D100" s="221">
        <f>$B$56/$B$116</f>
        <v>324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324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324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341" t="s">
        <v>78</v>
      </c>
      <c r="B117" s="342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343"/>
      <c r="B118" s="344"/>
      <c r="C118" s="98"/>
      <c r="D118" s="260"/>
      <c r="E118" s="360" t="s">
        <v>123</v>
      </c>
      <c r="F118" s="361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36" t="str">
        <f>B26</f>
        <v>Acetyl salicylic acid</v>
      </c>
      <c r="D124" s="336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56" t="s">
        <v>26</v>
      </c>
      <c r="C127" s="356"/>
      <c r="E127" s="204" t="s">
        <v>27</v>
      </c>
      <c r="F127" s="239"/>
      <c r="G127" s="356" t="s">
        <v>28</v>
      </c>
      <c r="H127" s="356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ASA</vt:lpstr>
      <vt:lpstr>SST SA</vt:lpstr>
      <vt:lpstr>Uniformity</vt:lpstr>
      <vt:lpstr>Salicylic acid</vt:lpstr>
      <vt:lpstr>Acetyl salycylic acid</vt:lpstr>
      <vt:lpstr>'SST ASA'!Print_Area</vt:lpstr>
      <vt:lpstr>'SST SA'!Print_Area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2017-01-10T07:55:02Z</cp:lastPrinted>
  <dcterms:created xsi:type="dcterms:W3CDTF">2005-07-05T10:19:27Z</dcterms:created>
  <dcterms:modified xsi:type="dcterms:W3CDTF">2017-01-10T07:55:09Z</dcterms:modified>
</cp:coreProperties>
</file>