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640" windowHeight="9405" activeTab="2"/>
  </bookViews>
  <sheets>
    <sheet name="SST" sheetId="1" r:id="rId1"/>
    <sheet name="Cefuroxime Axetil" sheetId="2" r:id="rId2"/>
    <sheet name="Relative Density" sheetId="4" r:id="rId3"/>
  </sheets>
  <externalReferences>
    <externalReference r:id="rId4"/>
  </externalReferences>
  <definedNames>
    <definedName name="_xlnm.Print_Area" localSheetId="1">'Cefuroxime Axetil'!$A$1:$I$149</definedName>
  </definedNames>
  <calcPr calcId="144525"/>
</workbook>
</file>

<file path=xl/calcChain.xml><?xml version="1.0" encoding="utf-8"?>
<calcChain xmlns="http://schemas.openxmlformats.org/spreadsheetml/2006/main">
  <c r="C37" i="4" l="1"/>
  <c r="C35" i="4"/>
  <c r="F126" i="2" l="1"/>
  <c r="B21" i="4" l="1"/>
  <c r="B20" i="4"/>
  <c r="B42" i="1"/>
  <c r="B41" i="1"/>
  <c r="B40" i="1"/>
  <c r="B39" i="1"/>
  <c r="B21" i="1"/>
  <c r="B20" i="1"/>
  <c r="B19" i="1"/>
  <c r="B18" i="1"/>
  <c r="F97" i="2" l="1"/>
  <c r="G96" i="2"/>
  <c r="E96" i="2"/>
  <c r="G95" i="2"/>
  <c r="F95" i="2"/>
  <c r="D95" i="2"/>
  <c r="E95" i="2" s="1"/>
  <c r="G94" i="2"/>
  <c r="F94" i="2"/>
  <c r="D94" i="2"/>
  <c r="E94" i="2" s="1"/>
  <c r="G93" i="2"/>
  <c r="G97" i="2" s="1"/>
  <c r="F93" i="2"/>
  <c r="D93" i="2"/>
  <c r="D97" i="2" s="1"/>
  <c r="F72" i="2"/>
  <c r="F71" i="2"/>
  <c r="F70" i="2"/>
  <c r="F68" i="2"/>
  <c r="F67" i="2"/>
  <c r="F66" i="2"/>
  <c r="F64" i="2"/>
  <c r="F63" i="2"/>
  <c r="F62" i="2"/>
  <c r="D33" i="4"/>
  <c r="C33" i="4"/>
  <c r="B33" i="4"/>
  <c r="B25" i="4"/>
  <c r="B24" i="4"/>
  <c r="B23" i="4"/>
  <c r="B22" i="4"/>
  <c r="E40" i="2"/>
  <c r="G42" i="2"/>
  <c r="E42" i="2"/>
  <c r="F41" i="2"/>
  <c r="D41" i="2"/>
  <c r="F40" i="2"/>
  <c r="D40" i="2"/>
  <c r="F39" i="2"/>
  <c r="F43" i="2" s="1"/>
  <c r="D39" i="2"/>
  <c r="F125" i="2"/>
  <c r="F124" i="2"/>
  <c r="F122" i="2"/>
  <c r="F121" i="2"/>
  <c r="F120" i="2"/>
  <c r="F118" i="2"/>
  <c r="F117" i="2"/>
  <c r="F116" i="2"/>
  <c r="E93" i="2" l="1"/>
  <c r="E97" i="2" s="1"/>
  <c r="D43" i="2"/>
  <c r="C39" i="4" l="1"/>
  <c r="B58" i="2" s="1"/>
  <c r="B112" i="2" s="1"/>
  <c r="B31" i="2"/>
  <c r="C132" i="2"/>
  <c r="H127" i="2"/>
  <c r="G127" i="2"/>
  <c r="B124" i="2"/>
  <c r="H123" i="2"/>
  <c r="G123" i="2"/>
  <c r="H119" i="2"/>
  <c r="G119" i="2"/>
  <c r="B113" i="2"/>
  <c r="E111" i="2"/>
  <c r="B110" i="2"/>
  <c r="B100" i="2"/>
  <c r="D103" i="2" s="1"/>
  <c r="F99" i="2"/>
  <c r="B89" i="2"/>
  <c r="D99" i="2" s="1"/>
  <c r="B85" i="2"/>
  <c r="C78" i="2"/>
  <c r="H73" i="2"/>
  <c r="G73" i="2"/>
  <c r="B70" i="2"/>
  <c r="H69" i="2"/>
  <c r="G69" i="2"/>
  <c r="H65" i="2"/>
  <c r="G65" i="2"/>
  <c r="B59" i="2"/>
  <c r="E57" i="2"/>
  <c r="B56" i="2"/>
  <c r="D49" i="2"/>
  <c r="B46" i="2"/>
  <c r="B35" i="2"/>
  <c r="F45" i="2" s="1"/>
  <c r="B53" i="1"/>
  <c r="E51" i="1"/>
  <c r="D51" i="1"/>
  <c r="C51" i="1"/>
  <c r="B51" i="1"/>
  <c r="B52" i="1" s="1"/>
  <c r="B32" i="1"/>
  <c r="E30" i="1"/>
  <c r="D30" i="1"/>
  <c r="C30" i="1"/>
  <c r="B30" i="1"/>
  <c r="B31" i="1" s="1"/>
  <c r="D59" i="2" l="1"/>
  <c r="D104" i="2"/>
  <c r="D100" i="2"/>
  <c r="F100" i="2"/>
  <c r="F101" i="2" s="1"/>
  <c r="F46" i="2"/>
  <c r="B71" i="2"/>
  <c r="D113" i="2"/>
  <c r="B125" i="2" s="1"/>
  <c r="D101" i="2"/>
  <c r="D45" i="2"/>
  <c r="D46" i="2" s="1"/>
  <c r="D50" i="2"/>
  <c r="G40" i="2" l="1"/>
  <c r="G39" i="2"/>
  <c r="G41" i="2"/>
  <c r="E39" i="2"/>
  <c r="E43" i="2" s="1"/>
  <c r="E41" i="2"/>
  <c r="D47" i="2"/>
  <c r="F47" i="2"/>
  <c r="G43" i="2" l="1"/>
  <c r="D107" i="2"/>
  <c r="D105" i="2"/>
  <c r="G126" i="2" s="1"/>
  <c r="H126" i="2" s="1"/>
  <c r="G117" i="2"/>
  <c r="H117" i="2" s="1"/>
  <c r="D51" i="2"/>
  <c r="G67" i="2" s="1"/>
  <c r="H67" i="2" s="1"/>
  <c r="G121" i="2"/>
  <c r="H121" i="2" s="1"/>
  <c r="G124" i="2"/>
  <c r="H124" i="2" s="1"/>
  <c r="D106" i="2"/>
  <c r="G122" i="2"/>
  <c r="H122" i="2" s="1"/>
  <c r="G120" i="2"/>
  <c r="H120" i="2" s="1"/>
  <c r="G118" i="2"/>
  <c r="H118" i="2" s="1"/>
  <c r="D53" i="2"/>
  <c r="G116" i="2" l="1"/>
  <c r="H116" i="2" s="1"/>
  <c r="G125" i="2"/>
  <c r="H125" i="2" s="1"/>
  <c r="G72" i="2"/>
  <c r="H72" i="2" s="1"/>
  <c r="G71" i="2"/>
  <c r="H71" i="2" s="1"/>
  <c r="D52" i="2"/>
  <c r="G62" i="2"/>
  <c r="H62" i="2" s="1"/>
  <c r="G63" i="2"/>
  <c r="H63" i="2" s="1"/>
  <c r="G64" i="2"/>
  <c r="H64" i="2" s="1"/>
  <c r="G68" i="2"/>
  <c r="H68" i="2" s="1"/>
  <c r="G70" i="2"/>
  <c r="H70" i="2" s="1"/>
  <c r="G66" i="2"/>
  <c r="H66" i="2" s="1"/>
  <c r="H128" i="2" l="1"/>
  <c r="G132" i="2" s="1"/>
  <c r="H130" i="2"/>
  <c r="H76" i="2"/>
  <c r="H74" i="2"/>
  <c r="G78" i="2" s="1"/>
  <c r="H129" i="2"/>
  <c r="H75" i="2" l="1"/>
</calcChain>
</file>

<file path=xl/sharedStrings.xml><?xml version="1.0" encoding="utf-8"?>
<sst xmlns="http://schemas.openxmlformats.org/spreadsheetml/2006/main" count="243" uniqueCount="119">
  <si>
    <t>HPLC System Suitability Report</t>
  </si>
  <si>
    <t>Analysis Data</t>
  </si>
  <si>
    <t>Assay</t>
  </si>
  <si>
    <t>Sample(s)</t>
  </si>
  <si>
    <t>Reference Substance:</t>
  </si>
  <si>
    <t>Aivcef Suspension</t>
  </si>
  <si>
    <t>% age Purity:</t>
  </si>
  <si>
    <t>NDQD201512608</t>
  </si>
  <si>
    <t>Weight (mg):</t>
  </si>
  <si>
    <t xml:space="preserve">Cefuroxime Axetil </t>
  </si>
  <si>
    <t>Standard Conc (mg/mL):</t>
  </si>
  <si>
    <t>Each 5ml of the reconstituted suspension contains: Cefuroxime Axetil (Amorphous) USP eq. to Cefuroxime 125 mg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</si>
  <si>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</si>
  <si>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</si>
  <si>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</si>
  <si>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</si>
  <si>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</si>
  <si>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</si>
  <si>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</si>
  <si>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</si>
  <si>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</si>
  <si>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</si>
  <si>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</si>
  <si>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</si>
  <si>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</si>
  <si>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</si>
  <si>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</si>
  <si>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</si>
  <si>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</si>
  <si>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</si>
  <si>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</si>
  <si>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</si>
  <si>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</si>
  <si>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</si>
  <si>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</si>
  <si>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</si>
  <si>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</si>
  <si>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</si>
  <si>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</si>
  <si>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</si>
  <si>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</si>
  <si>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</si>
  <si>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</si>
  <si>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</si>
  <si>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</si>
  <si>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</si>
  <si>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</si>
  <si>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</si>
  <si>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</si>
  <si>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</si>
  <si>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</si>
  <si>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</si>
  <si>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</si>
  <si>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</si>
  <si>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</si>
  <si>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</si>
  <si>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</si>
  <si>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</si>
  <si>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</si>
  <si>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</si>
  <si>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</si>
  <si>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</si>
  <si>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</si>
  <si>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</si>
  <si>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</si>
  <si>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</si>
  <si>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</si>
  <si>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</si>
  <si>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</si>
  <si>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</si>
  <si>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</si>
  <si>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</si>
  <si>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</si>
  <si>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</si>
  <si>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</si>
  <si>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</si>
  <si>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</si>
  <si>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</si>
  <si>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</si>
  <si>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</si>
  <si>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</si>
  <si>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</si>
  <si>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</si>
  <si>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</si>
  <si>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</si>
  <si>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</si>
  <si>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</si>
  <si>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</si>
  <si>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</si>
  <si>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</si>
  <si>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</si>
  <si>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</si>
  <si>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</si>
  <si>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</si>
  <si>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</si>
  <si>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</si>
  <si>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</si>
  <si>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</si>
  <si>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</si>
  <si>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</si>
  <si>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</si>
  <si>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</si>
  <si>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</si>
  <si>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</si>
  <si>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Day 7</t>
  </si>
  <si>
    <t>USP Amoxicillin RS</t>
  </si>
  <si>
    <t xml:space="preserve">Relative Density of Sample: </t>
  </si>
  <si>
    <t>Mass of Sample (g):</t>
  </si>
  <si>
    <t>Mass of Water (g):</t>
  </si>
  <si>
    <t>Pyknometer + Sample (g)</t>
  </si>
  <si>
    <t>Pyknometer + Water (g)</t>
  </si>
  <si>
    <t>Relative Density Test Report</t>
  </si>
  <si>
    <t>CEFUROXIME AXETIL</t>
  </si>
  <si>
    <t xml:space="preserve">      WRS/C3-3</t>
  </si>
  <si>
    <t xml:space="preserve">    WRS/C3-3</t>
  </si>
  <si>
    <t xml:space="preserve"> </t>
  </si>
  <si>
    <t>18th Jan 2016</t>
  </si>
  <si>
    <t>9th Feb 2016</t>
  </si>
  <si>
    <t>Joyfrida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</si>
</sst>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\ &quot;mL&quot;"/>
    <numFmt numFmtId="170" formatCode="0.0000\ &quot;g&quot;"/>
    <numFmt numFmtId="171" formatCode="0.0\ &quot;mg&quot;"/>
    <numFmt numFmtId="172" formatCode="0.0000"/>
    <numFmt numFmtId="173" formatCode="0.0000000"/>
    <numFmt numFmtId="174" formatCode="[$-409]d/mmm/yy;@"/>
  </numFmts>
  <fonts count="3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14"/>
      <color rgb="FF000000"/>
      <name val="Arial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b/>
      <i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2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sz val="10"/>
      <color rgb="FF000000"/>
      <name val="Arial"/>
      <family val="2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10"/>
      <color rgb="FF000000"/>
      <name val="Book Antiqua"/>
      <family val="1"/>
    </font>
    <font>
      <b/>
      <sz val="28"/>
      <color rgb="FF000000"/>
      <name val="Book Antiqua"/>
      <family val="1"/>
    </font>
    <font>
      <b/>
      <sz val="52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0"/>
      <color rgb="FF000000"/>
      <name val="Book Antiqua"/>
      <family val="1"/>
    </font>
    <font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4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20" fillId="2" borderId="0"/>
    <xf numFmtId="0" fontId="24" fillId="2" borderId="0"/>
  </cellStyleXfs>
  <cellXfs count="27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3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7" fillId="2" borderId="0" xfId="0" applyFont="1" applyFill="1" applyAlignment="1">
      <alignment horizontal="left"/>
    </xf>
    <xf numFmtId="166" fontId="7" fillId="2" borderId="0" xfId="0" applyNumberFormat="1" applyFont="1" applyFill="1" applyAlignment="1">
      <alignment horizontal="left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center"/>
    </xf>
    <xf numFmtId="0" fontId="7" fillId="2" borderId="0" xfId="0" applyFont="1" applyFill="1" applyAlignment="1">
      <alignment horizontal="right"/>
    </xf>
    <xf numFmtId="0" fontId="9" fillId="2" borderId="0" xfId="0" applyFont="1" applyFill="1"/>
    <xf numFmtId="0" fontId="10" fillId="2" borderId="0" xfId="0" applyFont="1" applyFill="1" applyAlignment="1">
      <alignment vertical="center" wrapText="1"/>
    </xf>
    <xf numFmtId="0" fontId="11" fillId="2" borderId="0" xfId="0" applyFont="1" applyFill="1"/>
    <xf numFmtId="0" fontId="12" fillId="2" borderId="0" xfId="0" applyFont="1" applyFill="1"/>
    <xf numFmtId="2" fontId="8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vertical="center" wrapText="1"/>
    </xf>
    <xf numFmtId="0" fontId="9" fillId="2" borderId="0" xfId="0" applyFont="1" applyFill="1"/>
    <xf numFmtId="0" fontId="13" fillId="2" borderId="0" xfId="0" applyFont="1" applyFill="1" applyAlignment="1">
      <alignment horizontal="left" vertical="center" wrapText="1"/>
    </xf>
    <xf numFmtId="167" fontId="8" fillId="2" borderId="0" xfId="0" applyNumberFormat="1" applyFont="1" applyFill="1" applyAlignment="1">
      <alignment horizontal="center"/>
    </xf>
    <xf numFmtId="0" fontId="7" fillId="2" borderId="12" xfId="0" applyFont="1" applyFill="1" applyBorder="1" applyAlignment="1">
      <alignment horizontal="right"/>
    </xf>
    <xf numFmtId="0" fontId="7" fillId="2" borderId="13" xfId="0" applyFont="1" applyFill="1" applyBorder="1" applyAlignment="1">
      <alignment horizontal="right"/>
    </xf>
    <xf numFmtId="0" fontId="7" fillId="2" borderId="14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8" fillId="2" borderId="16" xfId="0" applyFont="1" applyFill="1" applyBorder="1" applyAlignment="1">
      <alignment horizontal="center"/>
    </xf>
    <xf numFmtId="0" fontId="8" fillId="2" borderId="17" xfId="0" applyFont="1" applyFill="1" applyBorder="1" applyAlignment="1">
      <alignment horizontal="center"/>
    </xf>
    <xf numFmtId="0" fontId="7" fillId="2" borderId="18" xfId="0" applyFont="1" applyFill="1" applyBorder="1" applyAlignment="1">
      <alignment horizontal="center"/>
    </xf>
    <xf numFmtId="0" fontId="7" fillId="2" borderId="0" xfId="0" applyFont="1" applyFill="1"/>
    <xf numFmtId="0" fontId="7" fillId="2" borderId="19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right"/>
    </xf>
    <xf numFmtId="2" fontId="7" fillId="6" borderId="22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2" fontId="7" fillId="7" borderId="22" xfId="0" applyNumberFormat="1" applyFont="1" applyFill="1" applyBorder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7" fillId="6" borderId="23" xfId="0" applyNumberFormat="1" applyFont="1" applyFill="1" applyBorder="1" applyAlignment="1">
      <alignment horizontal="center"/>
    </xf>
    <xf numFmtId="0" fontId="7" fillId="2" borderId="22" xfId="0" applyFont="1" applyFill="1" applyBorder="1" applyAlignment="1">
      <alignment horizontal="right"/>
    </xf>
    <xf numFmtId="0" fontId="7" fillId="2" borderId="23" xfId="0" applyFont="1" applyFill="1" applyBorder="1" applyAlignment="1">
      <alignment horizontal="right"/>
    </xf>
    <xf numFmtId="0" fontId="7" fillId="2" borderId="24" xfId="0" applyFont="1" applyFill="1" applyBorder="1" applyAlignment="1">
      <alignment horizontal="right"/>
    </xf>
    <xf numFmtId="10" fontId="7" fillId="6" borderId="22" xfId="0" applyNumberFormat="1" applyFont="1" applyFill="1" applyBorder="1" applyAlignment="1">
      <alignment horizontal="center"/>
    </xf>
    <xf numFmtId="0" fontId="7" fillId="7" borderId="23" xfId="0" applyFont="1" applyFill="1" applyBorder="1" applyAlignment="1">
      <alignment horizontal="center"/>
    </xf>
    <xf numFmtId="0" fontId="8" fillId="2" borderId="0" xfId="0" applyFont="1" applyFill="1" applyAlignment="1">
      <alignment horizontal="left"/>
    </xf>
    <xf numFmtId="0" fontId="8" fillId="2" borderId="25" xfId="0" applyFont="1" applyFill="1" applyBorder="1" applyAlignment="1">
      <alignment horizontal="center"/>
    </xf>
    <xf numFmtId="2" fontId="8" fillId="2" borderId="25" xfId="0" applyNumberFormat="1" applyFont="1" applyFill="1" applyBorder="1" applyAlignment="1">
      <alignment horizontal="center"/>
    </xf>
    <xf numFmtId="0" fontId="7" fillId="2" borderId="25" xfId="0" applyFont="1" applyFill="1" applyBorder="1" applyAlignment="1">
      <alignment horizontal="center"/>
    </xf>
    <xf numFmtId="0" fontId="7" fillId="2" borderId="26" xfId="0" applyFont="1" applyFill="1" applyBorder="1" applyAlignment="1">
      <alignment horizontal="center"/>
    </xf>
    <xf numFmtId="0" fontId="7" fillId="2" borderId="27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0" fontId="7" fillId="2" borderId="0" xfId="0" applyFont="1" applyFill="1"/>
    <xf numFmtId="10" fontId="7" fillId="2" borderId="0" xfId="0" applyNumberFormat="1" applyFont="1" applyFill="1" applyAlignment="1">
      <alignment horizontal="center"/>
    </xf>
    <xf numFmtId="168" fontId="8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right"/>
    </xf>
    <xf numFmtId="0" fontId="8" fillId="2" borderId="28" xfId="0" applyFont="1" applyFill="1" applyBorder="1" applyAlignment="1">
      <alignment horizontal="center"/>
    </xf>
    <xf numFmtId="0" fontId="7" fillId="2" borderId="7" xfId="0" applyFont="1" applyFill="1" applyBorder="1"/>
    <xf numFmtId="0" fontId="7" fillId="2" borderId="11" xfId="0" applyFont="1" applyFill="1" applyBorder="1"/>
    <xf numFmtId="0" fontId="13" fillId="2" borderId="9" xfId="0" applyFont="1" applyFill="1" applyBorder="1" applyAlignment="1">
      <alignment horizontal="left" vertical="center" wrapText="1"/>
    </xf>
    <xf numFmtId="0" fontId="7" fillId="2" borderId="9" xfId="0" applyFont="1" applyFill="1" applyBorder="1"/>
    <xf numFmtId="0" fontId="7" fillId="2" borderId="9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30" xfId="0" applyFont="1" applyFill="1" applyBorder="1"/>
    <xf numFmtId="0" fontId="8" fillId="2" borderId="31" xfId="0" applyFont="1" applyFill="1" applyBorder="1"/>
    <xf numFmtId="0" fontId="7" fillId="2" borderId="0" xfId="0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0" fontId="7" fillId="2" borderId="0" xfId="0" applyFont="1" applyFill="1"/>
    <xf numFmtId="0" fontId="7" fillId="2" borderId="12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2" borderId="32" xfId="0" applyFont="1" applyFill="1" applyBorder="1" applyAlignment="1">
      <alignment horizontal="center"/>
    </xf>
    <xf numFmtId="0" fontId="7" fillId="2" borderId="7" xfId="0" applyFont="1" applyFill="1" applyBorder="1"/>
    <xf numFmtId="0" fontId="7" fillId="2" borderId="11" xfId="0" applyFont="1" applyFill="1" applyBorder="1"/>
    <xf numFmtId="0" fontId="7" fillId="2" borderId="0" xfId="0" applyFont="1" applyFill="1" applyAlignment="1">
      <alignment horizontal="right"/>
    </xf>
    <xf numFmtId="169" fontId="8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10" fontId="7" fillId="2" borderId="15" xfId="0" applyNumberFormat="1" applyFont="1" applyFill="1" applyBorder="1" applyAlignment="1">
      <alignment horizontal="center" vertical="center"/>
    </xf>
    <xf numFmtId="10" fontId="7" fillId="2" borderId="14" xfId="0" applyNumberFormat="1" applyFont="1" applyFill="1" applyBorder="1" applyAlignment="1">
      <alignment horizontal="center" vertical="center"/>
    </xf>
    <xf numFmtId="10" fontId="7" fillId="2" borderId="33" xfId="0" applyNumberFormat="1" applyFont="1" applyFill="1" applyBorder="1" applyAlignment="1">
      <alignment horizontal="center" vertical="center"/>
    </xf>
    <xf numFmtId="2" fontId="7" fillId="2" borderId="25" xfId="0" applyNumberFormat="1" applyFont="1" applyFill="1" applyBorder="1" applyAlignment="1">
      <alignment horizontal="center"/>
    </xf>
    <xf numFmtId="2" fontId="7" fillId="2" borderId="26" xfId="0" applyNumberFormat="1" applyFont="1" applyFill="1" applyBorder="1" applyAlignment="1">
      <alignment horizontal="center"/>
    </xf>
    <xf numFmtId="2" fontId="7" fillId="2" borderId="27" xfId="0" applyNumberFormat="1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35" xfId="0" applyFont="1" applyFill="1" applyBorder="1" applyAlignment="1">
      <alignment horizontal="right"/>
    </xf>
    <xf numFmtId="0" fontId="7" fillId="2" borderId="16" xfId="0" applyFont="1" applyFill="1" applyBorder="1" applyAlignment="1">
      <alignment horizontal="right"/>
    </xf>
    <xf numFmtId="2" fontId="7" fillId="6" borderId="36" xfId="0" applyNumberFormat="1" applyFont="1" applyFill="1" applyBorder="1" applyAlignment="1">
      <alignment horizontal="center"/>
    </xf>
    <xf numFmtId="2" fontId="7" fillId="7" borderId="36" xfId="0" applyNumberFormat="1" applyFont="1" applyFill="1" applyBorder="1" applyAlignment="1">
      <alignment horizontal="center"/>
    </xf>
    <xf numFmtId="0" fontId="7" fillId="2" borderId="34" xfId="0" applyFont="1" applyFill="1" applyBorder="1" applyAlignment="1">
      <alignment horizontal="right"/>
    </xf>
    <xf numFmtId="2" fontId="7" fillId="6" borderId="17" xfId="0" applyNumberFormat="1" applyFont="1" applyFill="1" applyBorder="1" applyAlignment="1">
      <alignment horizontal="center"/>
    </xf>
    <xf numFmtId="0" fontId="7" fillId="2" borderId="37" xfId="0" applyFont="1" applyFill="1" applyBorder="1" applyAlignment="1">
      <alignment horizontal="right"/>
    </xf>
    <xf numFmtId="168" fontId="8" fillId="7" borderId="37" xfId="0" applyNumberFormat="1" applyFont="1" applyFill="1" applyBorder="1" applyAlignment="1">
      <alignment horizontal="center"/>
    </xf>
    <xf numFmtId="0" fontId="7" fillId="2" borderId="32" xfId="0" applyFont="1" applyFill="1" applyBorder="1" applyAlignment="1">
      <alignment horizontal="right"/>
    </xf>
    <xf numFmtId="0" fontId="7" fillId="2" borderId="0" xfId="0" applyFont="1" applyFill="1" applyAlignment="1">
      <alignment horizontal="right"/>
    </xf>
    <xf numFmtId="170" fontId="8" fillId="2" borderId="0" xfId="0" applyNumberFormat="1" applyFont="1" applyFill="1" applyAlignment="1">
      <alignment horizontal="center"/>
    </xf>
    <xf numFmtId="0" fontId="7" fillId="2" borderId="7" xfId="0" applyFont="1" applyFill="1" applyBorder="1" applyProtection="1">
      <protection locked="0"/>
    </xf>
    <xf numFmtId="0" fontId="8" fillId="2" borderId="11" xfId="0" applyFont="1" applyFill="1" applyBorder="1" applyProtection="1"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166" fontId="14" fillId="3" borderId="0" xfId="0" applyNumberFormat="1" applyFont="1" applyFill="1" applyAlignment="1" applyProtection="1">
      <alignment horizontal="left"/>
      <protection locked="0"/>
    </xf>
    <xf numFmtId="0" fontId="15" fillId="3" borderId="15" xfId="0" applyFont="1" applyFill="1" applyBorder="1" applyAlignment="1" applyProtection="1">
      <alignment horizontal="center"/>
      <protection locked="0"/>
    </xf>
    <xf numFmtId="0" fontId="15" fillId="3" borderId="14" xfId="0" applyFont="1" applyFill="1" applyBorder="1" applyAlignment="1" applyProtection="1">
      <alignment horizontal="center"/>
      <protection locked="0"/>
    </xf>
    <xf numFmtId="0" fontId="15" fillId="3" borderId="13" xfId="0" applyFont="1" applyFill="1" applyBorder="1" applyAlignment="1" applyProtection="1">
      <alignment horizontal="center"/>
      <protection locked="0"/>
    </xf>
    <xf numFmtId="0" fontId="15" fillId="3" borderId="36" xfId="0" applyFont="1" applyFill="1" applyBorder="1" applyAlignment="1" applyProtection="1">
      <alignment horizontal="center"/>
      <protection locked="0"/>
    </xf>
    <xf numFmtId="169" fontId="15" fillId="3" borderId="0" xfId="0" applyNumberFormat="1" applyFont="1" applyFill="1" applyAlignment="1" applyProtection="1">
      <alignment horizontal="center"/>
      <protection locked="0"/>
    </xf>
    <xf numFmtId="171" fontId="15" fillId="3" borderId="0" xfId="0" applyNumberFormat="1" applyFont="1" applyFill="1" applyAlignment="1" applyProtection="1">
      <alignment horizontal="center"/>
      <protection locked="0"/>
    </xf>
    <xf numFmtId="0" fontId="15" fillId="3" borderId="12" xfId="0" applyFont="1" applyFill="1" applyBorder="1" applyAlignment="1" applyProtection="1">
      <alignment horizontal="center"/>
      <protection locked="0"/>
    </xf>
    <xf numFmtId="0" fontId="15" fillId="3" borderId="32" xfId="0" applyFont="1" applyFill="1" applyBorder="1" applyAlignment="1" applyProtection="1">
      <alignment horizontal="center"/>
      <protection locked="0"/>
    </xf>
    <xf numFmtId="2" fontId="14" fillId="2" borderId="33" xfId="0" applyNumberFormat="1" applyFont="1" applyFill="1" applyBorder="1" applyAlignment="1">
      <alignment horizontal="center"/>
    </xf>
    <xf numFmtId="10" fontId="15" fillId="7" borderId="19" xfId="0" applyNumberFormat="1" applyFont="1" applyFill="1" applyBorder="1" applyAlignment="1">
      <alignment horizontal="center"/>
    </xf>
    <xf numFmtId="10" fontId="15" fillId="6" borderId="41" xfId="0" applyNumberFormat="1" applyFont="1" applyFill="1" applyBorder="1" applyAlignment="1">
      <alignment horizontal="center"/>
    </xf>
    <xf numFmtId="0" fontId="15" fillId="7" borderId="42" xfId="0" applyFont="1" applyFill="1" applyBorder="1" applyAlignment="1">
      <alignment horizontal="center"/>
    </xf>
    <xf numFmtId="0" fontId="7" fillId="2" borderId="0" xfId="0" applyFont="1" applyFill="1" applyAlignment="1">
      <alignment horizontal="right"/>
    </xf>
    <xf numFmtId="165" fontId="15" fillId="2" borderId="0" xfId="0" applyNumberFormat="1" applyFont="1" applyFill="1" applyAlignment="1">
      <alignment horizontal="center"/>
    </xf>
    <xf numFmtId="172" fontId="8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0" fontId="13" fillId="2" borderId="9" xfId="0" applyFont="1" applyFill="1" applyBorder="1" applyAlignment="1">
      <alignment horizontal="left" vertical="center" wrapText="1"/>
    </xf>
    <xf numFmtId="0" fontId="14" fillId="3" borderId="0" xfId="0" applyFont="1" applyFill="1" applyProtection="1">
      <protection locked="0"/>
    </xf>
    <xf numFmtId="10" fontId="7" fillId="2" borderId="25" xfId="0" applyNumberFormat="1" applyFont="1" applyFill="1" applyBorder="1" applyAlignment="1">
      <alignment horizontal="center" vertical="center"/>
    </xf>
    <xf numFmtId="10" fontId="7" fillId="2" borderId="26" xfId="0" applyNumberFormat="1" applyFont="1" applyFill="1" applyBorder="1" applyAlignment="1">
      <alignment horizontal="center" vertical="center"/>
    </xf>
    <xf numFmtId="10" fontId="7" fillId="2" borderId="27" xfId="0" applyNumberFormat="1" applyFont="1" applyFill="1" applyBorder="1" applyAlignment="1">
      <alignment horizontal="center" vertical="center"/>
    </xf>
    <xf numFmtId="2" fontId="21" fillId="3" borderId="0" xfId="0" applyNumberFormat="1" applyFont="1" applyFill="1" applyAlignment="1" applyProtection="1">
      <alignment horizontal="center"/>
      <protection locked="0"/>
    </xf>
    <xf numFmtId="0" fontId="21" fillId="3" borderId="38" xfId="0" applyFont="1" applyFill="1" applyBorder="1" applyAlignment="1" applyProtection="1">
      <alignment horizontal="center"/>
      <protection locked="0"/>
    </xf>
    <xf numFmtId="168" fontId="22" fillId="2" borderId="17" xfId="0" applyNumberFormat="1" applyFont="1" applyFill="1" applyBorder="1" applyAlignment="1">
      <alignment horizontal="center"/>
    </xf>
    <xf numFmtId="0" fontId="21" fillId="3" borderId="13" xfId="0" applyFont="1" applyFill="1" applyBorder="1" applyAlignment="1" applyProtection="1">
      <alignment horizontal="center"/>
      <protection locked="0"/>
    </xf>
    <xf numFmtId="0" fontId="21" fillId="3" borderId="39" xfId="0" applyFont="1" applyFill="1" applyBorder="1" applyAlignment="1" applyProtection="1">
      <alignment horizontal="center"/>
      <protection locked="0"/>
    </xf>
    <xf numFmtId="168" fontId="22" fillId="2" borderId="29" xfId="0" applyNumberFormat="1" applyFont="1" applyFill="1" applyBorder="1" applyAlignment="1">
      <alignment horizontal="center"/>
    </xf>
    <xf numFmtId="1" fontId="23" fillId="6" borderId="20" xfId="0" applyNumberFormat="1" applyFont="1" applyFill="1" applyBorder="1" applyAlignment="1">
      <alignment horizontal="center"/>
    </xf>
    <xf numFmtId="168" fontId="23" fillId="6" borderId="21" xfId="0" applyNumberFormat="1" applyFont="1" applyFill="1" applyBorder="1" applyAlignment="1">
      <alignment horizontal="center"/>
    </xf>
    <xf numFmtId="2" fontId="21" fillId="3" borderId="40" xfId="0" applyNumberFormat="1" applyFont="1" applyFill="1" applyBorder="1" applyAlignment="1" applyProtection="1">
      <alignment horizontal="center"/>
      <protection locked="0"/>
    </xf>
    <xf numFmtId="0" fontId="22" fillId="2" borderId="0" xfId="0" applyFont="1" applyFill="1"/>
    <xf numFmtId="0" fontId="21" fillId="3" borderId="37" xfId="0" applyFont="1" applyFill="1" applyBorder="1" applyAlignment="1" applyProtection="1">
      <alignment horizontal="center"/>
      <protection locked="0"/>
    </xf>
    <xf numFmtId="0" fontId="22" fillId="2" borderId="0" xfId="0" applyFont="1" applyFill="1" applyAlignment="1" applyProtection="1">
      <alignment horizontal="center"/>
      <protection locked="0"/>
    </xf>
    <xf numFmtId="0" fontId="21" fillId="3" borderId="0" xfId="0" applyFont="1" applyFill="1" applyAlignment="1" applyProtection="1">
      <alignment horizontal="center"/>
      <protection locked="0"/>
    </xf>
    <xf numFmtId="0" fontId="26" fillId="2" borderId="0" xfId="2" applyFont="1" applyFill="1" applyAlignment="1">
      <alignment vertical="center"/>
    </xf>
    <xf numFmtId="0" fontId="27" fillId="2" borderId="0" xfId="2" applyFont="1" applyFill="1"/>
    <xf numFmtId="0" fontId="29" fillId="2" borderId="0" xfId="2" applyFont="1" applyFill="1" applyAlignment="1">
      <alignment vertical="center"/>
    </xf>
    <xf numFmtId="0" fontId="32" fillId="2" borderId="0" xfId="2" applyFont="1" applyFill="1" applyAlignment="1">
      <alignment horizontal="right"/>
    </xf>
    <xf numFmtId="0" fontId="33" fillId="2" borderId="0" xfId="2" applyFont="1" applyFill="1" applyProtection="1">
      <protection locked="0"/>
    </xf>
    <xf numFmtId="174" fontId="33" fillId="2" borderId="0" xfId="2" applyNumberFormat="1" applyFont="1" applyFill="1" applyProtection="1">
      <protection locked="0"/>
    </xf>
    <xf numFmtId="2" fontId="32" fillId="2" borderId="43" xfId="2" applyNumberFormat="1" applyFont="1" applyFill="1" applyBorder="1" applyAlignment="1">
      <alignment horizontal="center" wrapText="1"/>
    </xf>
    <xf numFmtId="2" fontId="32" fillId="2" borderId="37" xfId="2" applyNumberFormat="1" applyFont="1" applyFill="1" applyBorder="1" applyAlignment="1">
      <alignment horizontal="center" wrapText="1"/>
    </xf>
    <xf numFmtId="2" fontId="27" fillId="2" borderId="0" xfId="2" applyNumberFormat="1" applyFont="1" applyFill="1" applyAlignment="1">
      <alignment horizontal="center"/>
    </xf>
    <xf numFmtId="2" fontId="34" fillId="2" borderId="0" xfId="2" applyNumberFormat="1" applyFont="1" applyFill="1" applyAlignment="1">
      <alignment horizontal="center"/>
    </xf>
    <xf numFmtId="0" fontId="24" fillId="2" borderId="0" xfId="2" applyFill="1"/>
    <xf numFmtId="164" fontId="33" fillId="3" borderId="47" xfId="2" applyNumberFormat="1" applyFont="1" applyFill="1" applyBorder="1" applyAlignment="1" applyProtection="1">
      <alignment horizontal="center"/>
      <protection locked="0"/>
    </xf>
    <xf numFmtId="164" fontId="33" fillId="3" borderId="22" xfId="2" applyNumberFormat="1" applyFont="1" applyFill="1" applyBorder="1" applyAlignment="1" applyProtection="1">
      <alignment horizontal="center"/>
      <protection locked="0"/>
    </xf>
    <xf numFmtId="164" fontId="34" fillId="2" borderId="0" xfId="2" applyNumberFormat="1" applyFont="1" applyFill="1" applyAlignment="1">
      <alignment horizontal="center"/>
    </xf>
    <xf numFmtId="164" fontId="33" fillId="2" borderId="13" xfId="2" applyNumberFormat="1" applyFont="1" applyFill="1" applyBorder="1" applyAlignment="1">
      <alignment horizontal="center"/>
    </xf>
    <xf numFmtId="164" fontId="33" fillId="3" borderId="23" xfId="2" applyNumberFormat="1" applyFont="1" applyFill="1" applyBorder="1" applyAlignment="1" applyProtection="1">
      <alignment horizontal="center"/>
      <protection locked="0"/>
    </xf>
    <xf numFmtId="164" fontId="33" fillId="2" borderId="0" xfId="2" applyNumberFormat="1" applyFont="1" applyFill="1" applyAlignment="1">
      <alignment horizontal="center"/>
    </xf>
    <xf numFmtId="164" fontId="33" fillId="2" borderId="14" xfId="2" applyNumberFormat="1" applyFont="1" applyFill="1" applyBorder="1" applyAlignment="1">
      <alignment horizontal="center"/>
    </xf>
    <xf numFmtId="173" fontId="32" fillId="5" borderId="47" xfId="2" applyNumberFormat="1" applyFont="1" applyFill="1" applyBorder="1" applyAlignment="1">
      <alignment horizontal="center"/>
    </xf>
    <xf numFmtId="173" fontId="27" fillId="2" borderId="0" xfId="2" applyNumberFormat="1" applyFont="1" applyFill="1" applyAlignment="1">
      <alignment horizontal="center"/>
    </xf>
    <xf numFmtId="2" fontId="33" fillId="2" borderId="0" xfId="2" applyNumberFormat="1" applyFont="1" applyFill="1" applyAlignment="1">
      <alignment horizontal="center"/>
    </xf>
    <xf numFmtId="2" fontId="33" fillId="2" borderId="47" xfId="2" applyNumberFormat="1" applyFont="1" applyFill="1" applyBorder="1" applyAlignment="1">
      <alignment horizontal="center"/>
    </xf>
    <xf numFmtId="173" fontId="33" fillId="2" borderId="47" xfId="2" applyNumberFormat="1" applyFont="1" applyFill="1" applyBorder="1" applyAlignment="1">
      <alignment horizontal="center"/>
    </xf>
    <xf numFmtId="173" fontId="34" fillId="2" borderId="0" xfId="2" applyNumberFormat="1" applyFont="1" applyFill="1" applyAlignment="1">
      <alignment horizontal="center"/>
    </xf>
    <xf numFmtId="173" fontId="33" fillId="2" borderId="0" xfId="2" applyNumberFormat="1" applyFont="1" applyFill="1" applyAlignment="1">
      <alignment horizontal="center"/>
    </xf>
    <xf numFmtId="2" fontId="33" fillId="2" borderId="47" xfId="2" applyNumberFormat="1" applyFont="1" applyFill="1" applyBorder="1" applyAlignment="1">
      <alignment horizontal="center" wrapText="1"/>
    </xf>
    <xf numFmtId="172" fontId="32" fillId="5" borderId="45" xfId="2" applyNumberFormat="1" applyFont="1" applyFill="1" applyBorder="1" applyAlignment="1">
      <alignment horizontal="center" vertical="center"/>
    </xf>
    <xf numFmtId="2" fontId="34" fillId="2" borderId="0" xfId="2" applyNumberFormat="1" applyFont="1" applyFill="1" applyAlignment="1">
      <alignment horizontal="center" wrapText="1"/>
    </xf>
    <xf numFmtId="172" fontId="27" fillId="2" borderId="0" xfId="2" applyNumberFormat="1" applyFont="1" applyFill="1" applyAlignment="1">
      <alignment horizontal="center" vertical="center"/>
    </xf>
    <xf numFmtId="0" fontId="34" fillId="2" borderId="9" xfId="2" applyFont="1" applyFill="1" applyBorder="1"/>
    <xf numFmtId="0" fontId="34" fillId="2" borderId="0" xfId="2" applyFont="1" applyFill="1" applyAlignment="1">
      <alignment horizontal="center"/>
    </xf>
    <xf numFmtId="0" fontId="34" fillId="2" borderId="0" xfId="2" applyFont="1" applyFill="1"/>
    <xf numFmtId="10" fontId="34" fillId="2" borderId="9" xfId="2" applyNumberFormat="1" applyFont="1" applyFill="1" applyBorder="1"/>
    <xf numFmtId="10" fontId="34" fillId="2" borderId="0" xfId="2" applyNumberFormat="1" applyFont="1" applyFill="1" applyAlignment="1">
      <alignment horizontal="center"/>
    </xf>
    <xf numFmtId="0" fontId="33" fillId="2" borderId="0" xfId="2" applyFont="1" applyFill="1"/>
    <xf numFmtId="0" fontId="32" fillId="2" borderId="10" xfId="2" applyFont="1" applyFill="1" applyBorder="1"/>
    <xf numFmtId="0" fontId="32" fillId="2" borderId="10" xfId="2" applyFont="1" applyFill="1" applyBorder="1" applyAlignment="1">
      <alignment horizontal="center"/>
    </xf>
    <xf numFmtId="0" fontId="33" fillId="2" borderId="10" xfId="2" applyFont="1" applyFill="1" applyBorder="1" applyAlignment="1">
      <alignment horizontal="center"/>
    </xf>
    <xf numFmtId="0" fontId="33" fillId="2" borderId="7" xfId="2" applyFont="1" applyFill="1" applyBorder="1"/>
    <xf numFmtId="0" fontId="32" fillId="2" borderId="11" xfId="2" applyFont="1" applyFill="1" applyBorder="1"/>
    <xf numFmtId="0" fontId="32" fillId="2" borderId="0" xfId="2" applyFont="1" applyFill="1"/>
    <xf numFmtId="0" fontId="33" fillId="2" borderId="11" xfId="2" applyFont="1" applyFill="1" applyBorder="1"/>
    <xf numFmtId="168" fontId="34" fillId="2" borderId="0" xfId="2" applyNumberFormat="1" applyFont="1" applyFill="1" applyAlignment="1">
      <alignment horizontal="center"/>
    </xf>
    <xf numFmtId="172" fontId="34" fillId="2" borderId="0" xfId="2" applyNumberFormat="1" applyFont="1" applyFill="1" applyAlignment="1">
      <alignment horizontal="center"/>
    </xf>
    <xf numFmtId="0" fontId="24" fillId="2" borderId="0" xfId="2" applyFill="1" applyAlignment="1">
      <alignment horizontal="center"/>
    </xf>
    <xf numFmtId="168" fontId="24" fillId="2" borderId="0" xfId="2" applyNumberFormat="1" applyFill="1"/>
    <xf numFmtId="0" fontId="24" fillId="2" borderId="0" xfId="2" applyFill="1" applyAlignment="1">
      <alignment horizontal="right"/>
    </xf>
    <xf numFmtId="0" fontId="35" fillId="3" borderId="3" xfId="0" applyFont="1" applyFill="1" applyBorder="1" applyAlignment="1" applyProtection="1">
      <alignment horizontal="center"/>
      <protection locked="0"/>
    </xf>
    <xf numFmtId="2" fontId="35" fillId="3" borderId="3" xfId="0" applyNumberFormat="1" applyFont="1" applyFill="1" applyBorder="1" applyAlignment="1" applyProtection="1">
      <alignment horizontal="center"/>
      <protection locked="0"/>
    </xf>
    <xf numFmtId="2" fontId="35" fillId="3" borderId="4" xfId="0" applyNumberFormat="1" applyFont="1" applyFill="1" applyBorder="1" applyAlignment="1" applyProtection="1">
      <alignment horizontal="center"/>
      <protection locked="0"/>
    </xf>
    <xf numFmtId="0" fontId="35" fillId="3" borderId="5" xfId="0" applyFont="1" applyFill="1" applyBorder="1" applyAlignment="1" applyProtection="1">
      <alignment horizontal="center"/>
      <protection locked="0"/>
    </xf>
    <xf numFmtId="2" fontId="35" fillId="3" borderId="5" xfId="0" applyNumberFormat="1" applyFont="1" applyFill="1" applyBorder="1" applyAlignment="1" applyProtection="1">
      <alignment horizontal="center"/>
      <protection locked="0"/>
    </xf>
    <xf numFmtId="0" fontId="7" fillId="2" borderId="0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14" fillId="3" borderId="0" xfId="0" applyFont="1" applyFill="1" applyAlignment="1" applyProtection="1">
      <alignment horizontal="left"/>
      <protection locked="0"/>
    </xf>
    <xf numFmtId="0" fontId="21" fillId="3" borderId="0" xfId="0" applyFont="1" applyFill="1" applyAlignment="1" applyProtection="1">
      <alignment horizontal="left"/>
      <protection locked="0"/>
    </xf>
    <xf numFmtId="0" fontId="13" fillId="2" borderId="43" xfId="0" applyFont="1" applyFill="1" applyBorder="1" applyAlignment="1">
      <alignment horizontal="justify" vertical="center" wrapText="1"/>
    </xf>
    <xf numFmtId="0" fontId="13" fillId="2" borderId="44" xfId="0" applyFont="1" applyFill="1" applyBorder="1" applyAlignment="1">
      <alignment horizontal="justify" vertical="center" wrapText="1"/>
    </xf>
    <xf numFmtId="0" fontId="13" fillId="2" borderId="45" xfId="0" applyFont="1" applyFill="1" applyBorder="1" applyAlignment="1">
      <alignment horizontal="justify" vertical="center" wrapText="1"/>
    </xf>
    <xf numFmtId="0" fontId="13" fillId="2" borderId="43" xfId="0" applyFont="1" applyFill="1" applyBorder="1" applyAlignment="1">
      <alignment horizontal="left" vertical="center" wrapText="1"/>
    </xf>
    <xf numFmtId="0" fontId="13" fillId="2" borderId="44" xfId="0" applyFont="1" applyFill="1" applyBorder="1" applyAlignment="1">
      <alignment horizontal="left" vertical="center" wrapText="1"/>
    </xf>
    <xf numFmtId="0" fontId="13" fillId="2" borderId="45" xfId="0" applyFont="1" applyFill="1" applyBorder="1" applyAlignment="1">
      <alignment horizontal="left" vertical="center" wrapText="1"/>
    </xf>
    <xf numFmtId="0" fontId="8" fillId="2" borderId="30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  <xf numFmtId="0" fontId="13" fillId="2" borderId="12" xfId="0" applyFont="1" applyFill="1" applyBorder="1" applyAlignment="1">
      <alignment horizontal="left" vertical="center" wrapText="1"/>
    </xf>
    <xf numFmtId="0" fontId="13" fillId="2" borderId="10" xfId="0" applyFont="1" applyFill="1" applyBorder="1" applyAlignment="1">
      <alignment horizontal="left" vertical="center" wrapText="1"/>
    </xf>
    <xf numFmtId="0" fontId="13" fillId="2" borderId="32" xfId="0" applyFont="1" applyFill="1" applyBorder="1" applyAlignment="1">
      <alignment horizontal="left" vertical="center" wrapText="1"/>
    </xf>
    <xf numFmtId="0" fontId="13" fillId="2" borderId="9" xfId="0" applyFont="1" applyFill="1" applyBorder="1" applyAlignment="1">
      <alignment horizontal="left" vertical="center" wrapText="1"/>
    </xf>
    <xf numFmtId="0" fontId="8" fillId="2" borderId="10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2" fontId="15" fillId="3" borderId="25" xfId="0" applyNumberFormat="1" applyFont="1" applyFill="1" applyBorder="1" applyAlignment="1" applyProtection="1">
      <alignment horizontal="center" vertical="center"/>
      <protection locked="0"/>
    </xf>
    <xf numFmtId="2" fontId="15" fillId="3" borderId="26" xfId="0" applyNumberFormat="1" applyFont="1" applyFill="1" applyBorder="1" applyAlignment="1" applyProtection="1">
      <alignment horizontal="center" vertical="center"/>
      <protection locked="0"/>
    </xf>
    <xf numFmtId="2" fontId="15" fillId="3" borderId="27" xfId="0" applyNumberFormat="1" applyFont="1" applyFill="1" applyBorder="1" applyAlignment="1" applyProtection="1">
      <alignment horizontal="center" vertical="center"/>
      <protection locked="0"/>
    </xf>
    <xf numFmtId="0" fontId="8" fillId="2" borderId="32" xfId="0" applyFont="1" applyFill="1" applyBorder="1" applyAlignment="1">
      <alignment horizontal="center" vertical="center"/>
    </xf>
    <xf numFmtId="0" fontId="13" fillId="2" borderId="15" xfId="0" applyFont="1" applyFill="1" applyBorder="1" applyAlignment="1">
      <alignment horizontal="left" vertical="center" wrapText="1"/>
    </xf>
    <xf numFmtId="0" fontId="13" fillId="2" borderId="33" xfId="0" applyFont="1" applyFill="1" applyBorder="1" applyAlignment="1">
      <alignment horizontal="left" vertical="center" wrapText="1"/>
    </xf>
    <xf numFmtId="0" fontId="15" fillId="3" borderId="0" xfId="0" applyFont="1" applyFill="1" applyAlignment="1" applyProtection="1">
      <alignment horizontal="left"/>
      <protection locked="0"/>
    </xf>
    <xf numFmtId="0" fontId="8" fillId="2" borderId="46" xfId="0" applyFont="1" applyFill="1" applyBorder="1" applyAlignment="1">
      <alignment horizont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0" fontId="13" fillId="2" borderId="43" xfId="0" applyFont="1" applyFill="1" applyBorder="1" applyAlignment="1">
      <alignment horizontal="center"/>
    </xf>
    <xf numFmtId="0" fontId="13" fillId="2" borderId="44" xfId="0" applyFont="1" applyFill="1" applyBorder="1" applyAlignment="1">
      <alignment horizontal="center"/>
    </xf>
    <xf numFmtId="0" fontId="13" fillId="2" borderId="45" xfId="0" applyFont="1" applyFill="1" applyBorder="1" applyAlignment="1">
      <alignment horizontal="center"/>
    </xf>
    <xf numFmtId="0" fontId="25" fillId="2" borderId="0" xfId="2" applyFont="1" applyFill="1" applyAlignment="1">
      <alignment horizontal="center" vertical="center"/>
    </xf>
    <xf numFmtId="0" fontId="28" fillId="2" borderId="0" xfId="2" applyFont="1" applyFill="1" applyAlignment="1">
      <alignment horizontal="center" vertical="center"/>
    </xf>
    <xf numFmtId="0" fontId="30" fillId="2" borderId="43" xfId="2" applyFont="1" applyFill="1" applyBorder="1" applyAlignment="1">
      <alignment horizontal="center"/>
    </xf>
    <xf numFmtId="0" fontId="30" fillId="2" borderId="44" xfId="2" applyFont="1" applyFill="1" applyBorder="1" applyAlignment="1">
      <alignment horizontal="center"/>
    </xf>
    <xf numFmtId="0" fontId="30" fillId="2" borderId="45" xfId="2" applyFont="1" applyFill="1" applyBorder="1" applyAlignment="1">
      <alignment horizontal="center"/>
    </xf>
    <xf numFmtId="0" fontId="31" fillId="2" borderId="10" xfId="2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2 2" xfId="2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3500\AppData\Local\Temp\NDQD2015126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"/>
      <sheetName val="Relative Density "/>
      <sheetName val="Relative Density  (2)"/>
      <sheetName val="Cefuroxime Axetil"/>
    </sheetNames>
    <sheetDataSet>
      <sheetData sheetId="0"/>
      <sheetData sheetId="1"/>
      <sheetData sheetId="2"/>
      <sheetData sheetId="3">
        <row r="20">
          <cell r="B20" t="str">
            <v xml:space="preserve">Cefuroxime Axetil </v>
          </cell>
        </row>
        <row r="21">
          <cell r="B21" t="str">
            <v>After reconstitution, each 5ml suspension contains: Cefuroxime Axetil USP Eq. to Cefuroxime 125mg</v>
          </cell>
        </row>
        <row r="22">
          <cell r="B22" t="str">
            <v>19th Jan 2016</v>
          </cell>
        </row>
        <row r="23">
          <cell r="B23" t="str">
            <v>9th Feb 2016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40" workbookViewId="0">
      <selection activeCell="C19" sqref="C1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31" t="s">
        <v>0</v>
      </c>
      <c r="B15" s="231"/>
      <c r="C15" s="231"/>
      <c r="D15" s="231"/>
      <c r="E15" s="231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8" t="str">
        <f>'Cefuroxime Axetil'!B27:C27</f>
        <v>CEFUROXIME AXETIL</v>
      </c>
      <c r="C18" s="10"/>
      <c r="D18" s="10"/>
      <c r="E18" s="10"/>
    </row>
    <row r="19" spans="1:6" ht="16.5" customHeight="1" x14ac:dyDescent="0.3">
      <c r="A19" s="11" t="s">
        <v>6</v>
      </c>
      <c r="B19" s="12">
        <f>'Cefuroxime Axetil'!B29</f>
        <v>96.5</v>
      </c>
      <c r="C19" s="10"/>
      <c r="D19" s="10"/>
      <c r="E19" s="10"/>
    </row>
    <row r="20" spans="1:6" ht="16.5" customHeight="1" x14ac:dyDescent="0.3">
      <c r="A20" s="7" t="s">
        <v>8</v>
      </c>
      <c r="B20" s="12">
        <f>'Cefuroxime Axetil'!D44</f>
        <v>28.32</v>
      </c>
      <c r="C20" s="10"/>
      <c r="D20" s="10"/>
      <c r="E20" s="10"/>
    </row>
    <row r="21" spans="1:6" ht="16.5" customHeight="1" x14ac:dyDescent="0.3">
      <c r="A21" s="7" t="s">
        <v>10</v>
      </c>
      <c r="B21" s="13">
        <f>'Cefuroxime Axetil'!D47</f>
        <v>0.22720160081493521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225">
        <v>31445676</v>
      </c>
      <c r="C24" s="226">
        <v>6004.12</v>
      </c>
      <c r="D24" s="226">
        <v>1.29</v>
      </c>
      <c r="E24" s="227">
        <v>13.1</v>
      </c>
    </row>
    <row r="25" spans="1:6" ht="16.5" customHeight="1" x14ac:dyDescent="0.3">
      <c r="A25" s="17">
        <v>2</v>
      </c>
      <c r="B25" s="225">
        <v>31416311</v>
      </c>
      <c r="C25" s="226">
        <v>6008.87</v>
      </c>
      <c r="D25" s="226">
        <v>1.3</v>
      </c>
      <c r="E25" s="226">
        <v>13.1</v>
      </c>
    </row>
    <row r="26" spans="1:6" ht="16.5" customHeight="1" x14ac:dyDescent="0.3">
      <c r="A26" s="17">
        <v>3</v>
      </c>
      <c r="B26" s="225">
        <v>31369709</v>
      </c>
      <c r="C26" s="226">
        <v>6047.14</v>
      </c>
      <c r="D26" s="226">
        <v>1.31</v>
      </c>
      <c r="E26" s="226">
        <v>13.1</v>
      </c>
    </row>
    <row r="27" spans="1:6" ht="16.5" customHeight="1" x14ac:dyDescent="0.3">
      <c r="A27" s="17">
        <v>4</v>
      </c>
      <c r="B27" s="225">
        <v>31408353</v>
      </c>
      <c r="C27" s="226">
        <v>6036.2</v>
      </c>
      <c r="D27" s="226">
        <v>1.3</v>
      </c>
      <c r="E27" s="226">
        <v>13.11</v>
      </c>
    </row>
    <row r="28" spans="1:6" ht="16.5" customHeight="1" x14ac:dyDescent="0.3">
      <c r="A28" s="17">
        <v>5</v>
      </c>
      <c r="B28" s="225">
        <v>31241363</v>
      </c>
      <c r="C28" s="226">
        <v>6071.03</v>
      </c>
      <c r="D28" s="226">
        <v>1.3</v>
      </c>
      <c r="E28" s="226">
        <v>13.11</v>
      </c>
    </row>
    <row r="29" spans="1:6" ht="16.5" customHeight="1" x14ac:dyDescent="0.3">
      <c r="A29" s="17">
        <v>6</v>
      </c>
      <c r="B29" s="228">
        <v>31366576</v>
      </c>
      <c r="C29" s="229">
        <v>6224.85</v>
      </c>
      <c r="D29" s="229">
        <v>1.32</v>
      </c>
      <c r="E29" s="229">
        <v>13.12</v>
      </c>
    </row>
    <row r="30" spans="1:6" ht="16.5" customHeight="1" x14ac:dyDescent="0.3">
      <c r="A30" s="18" t="s">
        <v>17</v>
      </c>
      <c r="B30" s="19">
        <f>AVERAGE(B24:B29)</f>
        <v>31374664.666666668</v>
      </c>
      <c r="C30" s="20">
        <f>AVERAGE(C24:C29)</f>
        <v>6065.3683333333329</v>
      </c>
      <c r="D30" s="21">
        <f>AVERAGE(D24:D29)</f>
        <v>1.3033333333333335</v>
      </c>
      <c r="E30" s="21">
        <f>AVERAGE(E24:E29)</f>
        <v>13.106666666666667</v>
      </c>
    </row>
    <row r="31" spans="1:6" ht="16.5" customHeight="1" x14ac:dyDescent="0.3">
      <c r="A31" s="22" t="s">
        <v>18</v>
      </c>
      <c r="B31" s="23">
        <f>(STDEV(B24:B29)/B30)</f>
        <v>2.2882509202986298E-3</v>
      </c>
      <c r="C31" s="24"/>
      <c r="D31" s="24"/>
      <c r="E31" s="25"/>
      <c r="F31" s="2"/>
    </row>
    <row r="32" spans="1:6" s="2" customFormat="1" ht="16.5" customHeight="1" x14ac:dyDescent="0.3">
      <c r="A32" s="26" t="s">
        <v>19</v>
      </c>
      <c r="B32" s="27">
        <f>COUNT(B24:B29)</f>
        <v>6</v>
      </c>
      <c r="C32" s="28"/>
      <c r="D32" s="29"/>
      <c r="E32" s="30"/>
    </row>
    <row r="33" spans="1:6" s="2" customFormat="1" ht="15.75" customHeight="1" x14ac:dyDescent="0.25">
      <c r="A33" s="10"/>
      <c r="B33" s="10"/>
      <c r="C33" s="10"/>
      <c r="D33" s="10"/>
      <c r="E33" s="31"/>
    </row>
    <row r="34" spans="1:6" s="2" customFormat="1" ht="16.5" customHeight="1" x14ac:dyDescent="0.3">
      <c r="A34" s="11" t="s">
        <v>20</v>
      </c>
      <c r="B34" s="32" t="s">
        <v>21</v>
      </c>
      <c r="C34" s="33"/>
      <c r="D34" s="33"/>
      <c r="E34" s="34"/>
    </row>
    <row r="35" spans="1:6" ht="16.5" customHeight="1" x14ac:dyDescent="0.3">
      <c r="A35" s="11"/>
      <c r="B35" s="32" t="s">
        <v>22</v>
      </c>
      <c r="C35" s="33"/>
      <c r="D35" s="33"/>
      <c r="E35" s="34"/>
      <c r="F35" s="2"/>
    </row>
    <row r="36" spans="1:6" ht="16.5" customHeight="1" x14ac:dyDescent="0.3">
      <c r="A36" s="11"/>
      <c r="B36" s="35" t="s">
        <v>23</v>
      </c>
      <c r="C36" s="33"/>
      <c r="D36" s="33"/>
      <c r="E36" s="33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4</v>
      </c>
      <c r="B39" s="8" t="str">
        <f>'Cefuroxime Axetil'!B27:C27</f>
        <v>CEFUROXIME AXETIL</v>
      </c>
      <c r="C39" s="10"/>
      <c r="D39" s="10"/>
      <c r="E39" s="10"/>
    </row>
    <row r="40" spans="1:6" ht="16.5" customHeight="1" x14ac:dyDescent="0.3">
      <c r="A40" s="11" t="s">
        <v>6</v>
      </c>
      <c r="B40" s="12">
        <f>'Cefuroxime Axetil'!B29</f>
        <v>96.5</v>
      </c>
      <c r="C40" s="10"/>
      <c r="D40" s="10"/>
      <c r="E40" s="10"/>
    </row>
    <row r="41" spans="1:6" ht="16.5" customHeight="1" x14ac:dyDescent="0.3">
      <c r="A41" s="7" t="s">
        <v>8</v>
      </c>
      <c r="B41" s="12">
        <f>'Cefuroxime Axetil'!D44</f>
        <v>28.32</v>
      </c>
      <c r="C41" s="10"/>
      <c r="D41" s="10"/>
      <c r="E41" s="10"/>
    </row>
    <row r="42" spans="1:6" ht="16.5" customHeight="1" x14ac:dyDescent="0.3">
      <c r="A42" s="7" t="s">
        <v>10</v>
      </c>
      <c r="B42" s="13">
        <f>'Cefuroxime Axetil'!D47</f>
        <v>0.22720160081493521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 x14ac:dyDescent="0.3">
      <c r="A45" s="17">
        <v>1</v>
      </c>
      <c r="B45" s="225">
        <v>33406196</v>
      </c>
      <c r="C45" s="226">
        <v>6348.23</v>
      </c>
      <c r="D45" s="226">
        <v>1.32</v>
      </c>
      <c r="E45" s="227">
        <v>15.1</v>
      </c>
    </row>
    <row r="46" spans="1:6" ht="16.5" customHeight="1" x14ac:dyDescent="0.3">
      <c r="A46" s="17">
        <v>2</v>
      </c>
      <c r="B46" s="225">
        <v>33367774</v>
      </c>
      <c r="C46" s="226">
        <v>6364.45</v>
      </c>
      <c r="D46" s="226">
        <v>1.32</v>
      </c>
      <c r="E46" s="226">
        <v>15.1</v>
      </c>
    </row>
    <row r="47" spans="1:6" ht="16.5" customHeight="1" x14ac:dyDescent="0.3">
      <c r="A47" s="17">
        <v>3</v>
      </c>
      <c r="B47" s="225">
        <v>33314006</v>
      </c>
      <c r="C47" s="226">
        <v>6388.56</v>
      </c>
      <c r="D47" s="226">
        <v>1.32</v>
      </c>
      <c r="E47" s="226">
        <v>15.1</v>
      </c>
    </row>
    <row r="48" spans="1:6" ht="16.5" customHeight="1" x14ac:dyDescent="0.3">
      <c r="A48" s="17">
        <v>4</v>
      </c>
      <c r="B48" s="225">
        <v>33392004</v>
      </c>
      <c r="C48" s="226">
        <v>6399.22</v>
      </c>
      <c r="D48" s="226">
        <v>1.33</v>
      </c>
      <c r="E48" s="226">
        <v>15.1</v>
      </c>
    </row>
    <row r="49" spans="1:7" ht="16.5" customHeight="1" x14ac:dyDescent="0.3">
      <c r="A49" s="17">
        <v>5</v>
      </c>
      <c r="B49" s="225">
        <v>33212414</v>
      </c>
      <c r="C49" s="226">
        <v>6443.8</v>
      </c>
      <c r="D49" s="226">
        <v>1.33</v>
      </c>
      <c r="E49" s="226">
        <v>15.11</v>
      </c>
    </row>
    <row r="50" spans="1:7" ht="16.5" customHeight="1" x14ac:dyDescent="0.3">
      <c r="A50" s="17">
        <v>6</v>
      </c>
      <c r="B50" s="228">
        <v>33350409</v>
      </c>
      <c r="C50" s="229">
        <v>6608.11</v>
      </c>
      <c r="D50" s="229">
        <v>1.34</v>
      </c>
      <c r="E50" s="229">
        <v>15.12</v>
      </c>
    </row>
    <row r="51" spans="1:7" ht="16.5" customHeight="1" x14ac:dyDescent="0.3">
      <c r="A51" s="18" t="s">
        <v>17</v>
      </c>
      <c r="B51" s="19">
        <f>AVERAGE(B45:B50)</f>
        <v>33340467.166666668</v>
      </c>
      <c r="C51" s="20">
        <f>AVERAGE(C45:C50)</f>
        <v>6425.3950000000004</v>
      </c>
      <c r="D51" s="21">
        <f>AVERAGE(D45:D50)</f>
        <v>1.3266666666666667</v>
      </c>
      <c r="E51" s="21">
        <f>AVERAGE(E45:E50)</f>
        <v>15.104999999999999</v>
      </c>
    </row>
    <row r="52" spans="1:7" ht="16.5" customHeight="1" x14ac:dyDescent="0.3">
      <c r="A52" s="22" t="s">
        <v>18</v>
      </c>
      <c r="B52" s="23">
        <f>(STDEV(B45:B50)/B51)</f>
        <v>2.1174123371399426E-3</v>
      </c>
      <c r="C52" s="24"/>
      <c r="D52" s="24"/>
      <c r="E52" s="25"/>
      <c r="F52" s="2"/>
    </row>
    <row r="53" spans="1:7" s="2" customFormat="1" ht="16.5" customHeight="1" x14ac:dyDescent="0.3">
      <c r="A53" s="26" t="s">
        <v>19</v>
      </c>
      <c r="B53" s="27">
        <f>COUNT(B45:B50)</f>
        <v>6</v>
      </c>
      <c r="C53" s="28"/>
      <c r="D53" s="29"/>
      <c r="E53" s="30"/>
    </row>
    <row r="54" spans="1:7" s="2" customFormat="1" ht="15.75" customHeight="1" x14ac:dyDescent="0.25">
      <c r="A54" s="10"/>
      <c r="B54" s="10"/>
      <c r="C54" s="10"/>
      <c r="D54" s="10"/>
      <c r="E54" s="31"/>
    </row>
    <row r="55" spans="1:7" s="2" customFormat="1" ht="16.5" customHeight="1" x14ac:dyDescent="0.3">
      <c r="A55" s="11" t="s">
        <v>20</v>
      </c>
      <c r="B55" s="32" t="s">
        <v>21</v>
      </c>
      <c r="C55" s="33"/>
      <c r="D55" s="33"/>
      <c r="E55" s="34"/>
    </row>
    <row r="56" spans="1:7" ht="16.5" customHeight="1" x14ac:dyDescent="0.3">
      <c r="A56" s="11"/>
      <c r="B56" s="32" t="s">
        <v>22</v>
      </c>
      <c r="C56" s="33"/>
      <c r="D56" s="33"/>
      <c r="E56" s="34"/>
      <c r="F56" s="2"/>
    </row>
    <row r="57" spans="1:7" ht="16.5" customHeight="1" x14ac:dyDescent="0.3">
      <c r="A57" s="11"/>
      <c r="B57" s="35" t="s">
        <v>23</v>
      </c>
      <c r="C57" s="33"/>
      <c r="D57" s="34"/>
      <c r="E57" s="33"/>
    </row>
    <row r="58" spans="1:7" ht="14.25" customHeight="1" x14ac:dyDescent="0.25">
      <c r="A58" s="36"/>
      <c r="B58" s="37"/>
      <c r="D58" s="38"/>
      <c r="F58" s="39"/>
      <c r="G58" s="39"/>
    </row>
    <row r="59" spans="1:7" ht="15" customHeight="1" x14ac:dyDescent="0.3">
      <c r="B59" s="232" t="s">
        <v>25</v>
      </c>
      <c r="C59" s="232"/>
      <c r="E59" s="40" t="s">
        <v>26</v>
      </c>
      <c r="F59" s="41"/>
      <c r="G59" s="40" t="s">
        <v>27</v>
      </c>
    </row>
    <row r="60" spans="1:7" ht="22.5" customHeight="1" x14ac:dyDescent="0.3">
      <c r="A60" s="42" t="s">
        <v>28</v>
      </c>
      <c r="B60" s="43" t="s">
        <v>118</v>
      </c>
      <c r="C60" s="43"/>
      <c r="E60" s="43"/>
      <c r="F60" s="2"/>
      <c r="G60" s="44"/>
    </row>
    <row r="61" spans="1:7" ht="24.75" customHeight="1" x14ac:dyDescent="0.3">
      <c r="A61" s="42" t="s">
        <v>29</v>
      </c>
      <c r="B61" s="45"/>
      <c r="C61" s="45"/>
      <c r="E61" s="45"/>
      <c r="F61" s="2"/>
      <c r="G61" s="4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52" zoomScale="55" zoomScaleNormal="75" workbookViewId="0">
      <selection activeCell="G51" sqref="G51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259" t="s">
        <v>30</v>
      </c>
      <c r="B1" s="259"/>
      <c r="C1" s="259"/>
      <c r="D1" s="259"/>
      <c r="E1" s="259"/>
      <c r="F1" s="259"/>
      <c r="G1" s="259"/>
      <c r="H1" s="259"/>
    </row>
    <row r="2" spans="1:8" x14ac:dyDescent="0.25">
      <c r="A2" s="259"/>
      <c r="B2" s="259"/>
      <c r="C2" s="259"/>
      <c r="D2" s="259"/>
      <c r="E2" s="259"/>
      <c r="F2" s="259"/>
      <c r="G2" s="259"/>
      <c r="H2" s="259"/>
    </row>
    <row r="3" spans="1:8" x14ac:dyDescent="0.25">
      <c r="A3" s="259"/>
      <c r="B3" s="259"/>
      <c r="C3" s="259"/>
      <c r="D3" s="259"/>
      <c r="E3" s="259"/>
      <c r="F3" s="259"/>
      <c r="G3" s="259"/>
      <c r="H3" s="259"/>
    </row>
    <row r="4" spans="1:8" x14ac:dyDescent="0.25">
      <c r="A4" s="259"/>
      <c r="B4" s="259"/>
      <c r="C4" s="259"/>
      <c r="D4" s="259"/>
      <c r="E4" s="259"/>
      <c r="F4" s="259"/>
      <c r="G4" s="259"/>
      <c r="H4" s="259"/>
    </row>
    <row r="5" spans="1:8" x14ac:dyDescent="0.25">
      <c r="A5" s="259"/>
      <c r="B5" s="259"/>
      <c r="C5" s="259"/>
      <c r="D5" s="259"/>
      <c r="E5" s="259"/>
      <c r="F5" s="259"/>
      <c r="G5" s="259"/>
      <c r="H5" s="259"/>
    </row>
    <row r="6" spans="1:8" x14ac:dyDescent="0.25">
      <c r="A6" s="259"/>
      <c r="B6" s="259"/>
      <c r="C6" s="259"/>
      <c r="D6" s="259"/>
      <c r="E6" s="259"/>
      <c r="F6" s="259"/>
      <c r="G6" s="259"/>
      <c r="H6" s="259"/>
    </row>
    <row r="7" spans="1:8" x14ac:dyDescent="0.25">
      <c r="A7" s="259"/>
      <c r="B7" s="259"/>
      <c r="C7" s="259"/>
      <c r="D7" s="259"/>
      <c r="E7" s="259"/>
      <c r="F7" s="259"/>
      <c r="G7" s="259"/>
      <c r="H7" s="259"/>
    </row>
    <row r="8" spans="1:8" x14ac:dyDescent="0.25">
      <c r="A8" s="260" t="s">
        <v>31</v>
      </c>
      <c r="B8" s="260"/>
      <c r="C8" s="260"/>
      <c r="D8" s="260"/>
      <c r="E8" s="260"/>
      <c r="F8" s="260"/>
      <c r="G8" s="260"/>
      <c r="H8" s="260"/>
    </row>
    <row r="9" spans="1:8" x14ac:dyDescent="0.25">
      <c r="A9" s="260"/>
      <c r="B9" s="260"/>
      <c r="C9" s="260"/>
      <c r="D9" s="260"/>
      <c r="E9" s="260"/>
      <c r="F9" s="260"/>
      <c r="G9" s="260"/>
      <c r="H9" s="260"/>
    </row>
    <row r="10" spans="1:8" x14ac:dyDescent="0.25">
      <c r="A10" s="260"/>
      <c r="B10" s="260"/>
      <c r="C10" s="260"/>
      <c r="D10" s="260"/>
      <c r="E10" s="260"/>
      <c r="F10" s="260"/>
      <c r="G10" s="260"/>
      <c r="H10" s="260"/>
    </row>
    <row r="11" spans="1:8" x14ac:dyDescent="0.25">
      <c r="A11" s="260"/>
      <c r="B11" s="260"/>
      <c r="C11" s="260"/>
      <c r="D11" s="260"/>
      <c r="E11" s="260"/>
      <c r="F11" s="260"/>
      <c r="G11" s="260"/>
      <c r="H11" s="260"/>
    </row>
    <row r="12" spans="1:8" x14ac:dyDescent="0.25">
      <c r="A12" s="260"/>
      <c r="B12" s="260"/>
      <c r="C12" s="260"/>
      <c r="D12" s="260"/>
      <c r="E12" s="260"/>
      <c r="F12" s="260"/>
      <c r="G12" s="260"/>
      <c r="H12" s="260"/>
    </row>
    <row r="13" spans="1:8" x14ac:dyDescent="0.25">
      <c r="A13" s="260"/>
      <c r="B13" s="260"/>
      <c r="C13" s="260"/>
      <c r="D13" s="260"/>
      <c r="E13" s="260"/>
      <c r="F13" s="260"/>
      <c r="G13" s="260"/>
      <c r="H13" s="260"/>
    </row>
    <row r="14" spans="1:8" ht="19.5" customHeight="1" x14ac:dyDescent="0.25">
      <c r="A14" s="260"/>
      <c r="B14" s="260"/>
      <c r="C14" s="260"/>
      <c r="D14" s="260"/>
      <c r="E14" s="260"/>
      <c r="F14" s="260"/>
      <c r="G14" s="260"/>
      <c r="H14" s="260"/>
    </row>
    <row r="15" spans="1:8" ht="19.5" customHeight="1" x14ac:dyDescent="0.25"/>
    <row r="16" spans="1:8" ht="19.5" customHeight="1" x14ac:dyDescent="0.3">
      <c r="A16" s="262" t="s">
        <v>32</v>
      </c>
      <c r="B16" s="263"/>
      <c r="C16" s="263"/>
      <c r="D16" s="263"/>
      <c r="E16" s="263"/>
      <c r="F16" s="263"/>
      <c r="G16" s="263"/>
      <c r="H16" s="264"/>
    </row>
    <row r="17" spans="1:12" ht="20.25" customHeight="1" x14ac:dyDescent="0.25">
      <c r="A17" s="261" t="s">
        <v>33</v>
      </c>
      <c r="B17" s="261"/>
      <c r="C17" s="261"/>
      <c r="D17" s="261"/>
      <c r="E17" s="261"/>
      <c r="F17" s="261"/>
      <c r="G17" s="261"/>
      <c r="H17" s="261"/>
    </row>
    <row r="18" spans="1:12" ht="26.25" customHeight="1" x14ac:dyDescent="0.4">
      <c r="A18" s="49" t="s">
        <v>34</v>
      </c>
      <c r="B18" s="257" t="s">
        <v>5</v>
      </c>
      <c r="C18" s="257"/>
    </row>
    <row r="19" spans="1:12" ht="26.25" customHeight="1" x14ac:dyDescent="0.4">
      <c r="A19" s="49" t="s">
        <v>35</v>
      </c>
      <c r="B19" s="141" t="s">
        <v>7</v>
      </c>
      <c r="C19" s="159">
        <v>23</v>
      </c>
    </row>
    <row r="20" spans="1:12" ht="26.25" customHeight="1" x14ac:dyDescent="0.4">
      <c r="A20" s="49" t="s">
        <v>36</v>
      </c>
      <c r="B20" s="141" t="s">
        <v>9</v>
      </c>
      <c r="C20" s="142"/>
    </row>
    <row r="21" spans="1:12" ht="26.25" customHeight="1" x14ac:dyDescent="0.4">
      <c r="A21" s="49" t="s">
        <v>37</v>
      </c>
      <c r="B21" s="234" t="s">
        <v>11</v>
      </c>
      <c r="C21" s="234"/>
      <c r="D21" s="234"/>
      <c r="E21" s="234"/>
      <c r="F21" s="234"/>
      <c r="G21" s="234"/>
      <c r="H21" s="234"/>
      <c r="I21" s="161"/>
    </row>
    <row r="22" spans="1:12" ht="26.25" customHeight="1" x14ac:dyDescent="0.4">
      <c r="A22" s="49" t="s">
        <v>38</v>
      </c>
      <c r="B22" s="143" t="s">
        <v>116</v>
      </c>
      <c r="C22" s="142"/>
      <c r="D22" s="142"/>
      <c r="E22" s="142"/>
      <c r="F22" s="142"/>
      <c r="G22" s="142"/>
      <c r="H22" s="142"/>
      <c r="I22" s="142"/>
    </row>
    <row r="23" spans="1:12" ht="26.25" customHeight="1" x14ac:dyDescent="0.4">
      <c r="A23" s="49" t="s">
        <v>39</v>
      </c>
      <c r="B23" s="143" t="s">
        <v>117</v>
      </c>
      <c r="C23" s="142"/>
      <c r="D23" s="142"/>
      <c r="E23" s="142"/>
      <c r="F23" s="142"/>
      <c r="G23" s="142"/>
      <c r="H23" s="142"/>
      <c r="I23" s="142"/>
    </row>
    <row r="24" spans="1:12" ht="18.75" x14ac:dyDescent="0.3">
      <c r="A24" s="49"/>
      <c r="B24" s="51"/>
    </row>
    <row r="25" spans="1:12" ht="18.75" x14ac:dyDescent="0.3">
      <c r="B25" s="51"/>
    </row>
    <row r="26" spans="1:12" ht="18.75" x14ac:dyDescent="0.3">
      <c r="A26" s="47" t="s">
        <v>1</v>
      </c>
      <c r="B26" s="233"/>
      <c r="C26" s="233"/>
      <c r="D26" s="233"/>
      <c r="E26" s="233"/>
      <c r="F26" s="233"/>
      <c r="G26" s="233"/>
      <c r="H26" s="233"/>
    </row>
    <row r="27" spans="1:12" ht="26.25" customHeight="1" x14ac:dyDescent="0.4">
      <c r="A27" s="52" t="s">
        <v>4</v>
      </c>
      <c r="B27" s="235" t="s">
        <v>112</v>
      </c>
      <c r="C27" s="257"/>
    </row>
    <row r="28" spans="1:12" ht="26.25" customHeight="1" x14ac:dyDescent="0.4">
      <c r="A28" s="54" t="s">
        <v>40</v>
      </c>
      <c r="B28" s="235" t="s">
        <v>113</v>
      </c>
      <c r="C28" s="235"/>
    </row>
    <row r="29" spans="1:12" ht="27" customHeight="1" x14ac:dyDescent="0.4">
      <c r="A29" s="54" t="s">
        <v>6</v>
      </c>
      <c r="B29" s="140">
        <v>96.5</v>
      </c>
    </row>
    <row r="30" spans="1:12" s="8" customFormat="1" ht="27" customHeight="1" x14ac:dyDescent="0.4">
      <c r="A30" s="54" t="s">
        <v>41</v>
      </c>
      <c r="B30" s="139">
        <v>0</v>
      </c>
      <c r="C30" s="236" t="s">
        <v>42</v>
      </c>
      <c r="D30" s="237"/>
      <c r="E30" s="237"/>
      <c r="F30" s="237"/>
      <c r="G30" s="237"/>
      <c r="H30" s="238"/>
      <c r="I30" s="56"/>
      <c r="J30" s="56"/>
      <c r="K30" s="56"/>
      <c r="L30" s="56"/>
    </row>
    <row r="31" spans="1:12" s="8" customFormat="1" ht="19.5" customHeight="1" x14ac:dyDescent="0.3">
      <c r="A31" s="54" t="s">
        <v>43</v>
      </c>
      <c r="B31" s="53">
        <f>B29-B30</f>
        <v>96.5</v>
      </c>
      <c r="C31" s="57"/>
      <c r="D31" s="57"/>
      <c r="E31" s="57"/>
      <c r="F31" s="57"/>
      <c r="G31" s="57"/>
      <c r="H31" s="58"/>
      <c r="I31" s="56"/>
      <c r="J31" s="56"/>
      <c r="K31" s="56"/>
      <c r="L31" s="56"/>
    </row>
    <row r="32" spans="1:12" s="8" customFormat="1" ht="27" customHeight="1" x14ac:dyDescent="0.4">
      <c r="A32" s="54" t="s">
        <v>44</v>
      </c>
      <c r="B32" s="165">
        <v>424.38600000000002</v>
      </c>
      <c r="C32" s="239" t="s">
        <v>45</v>
      </c>
      <c r="D32" s="240"/>
      <c r="E32" s="240"/>
      <c r="F32" s="240"/>
      <c r="G32" s="240"/>
      <c r="H32" s="241"/>
      <c r="I32" s="56"/>
      <c r="J32" s="56"/>
      <c r="K32" s="56"/>
      <c r="L32" s="56"/>
    </row>
    <row r="33" spans="1:14" s="8" customFormat="1" ht="27" customHeight="1" x14ac:dyDescent="0.4">
      <c r="A33" s="54" t="s">
        <v>46</v>
      </c>
      <c r="B33" s="165">
        <v>510.47</v>
      </c>
      <c r="C33" s="239" t="s">
        <v>47</v>
      </c>
      <c r="D33" s="240"/>
      <c r="E33" s="240"/>
      <c r="F33" s="240"/>
      <c r="G33" s="240"/>
      <c r="H33" s="241"/>
      <c r="I33" s="56"/>
      <c r="J33" s="56"/>
      <c r="K33" s="56"/>
      <c r="L33" s="60"/>
      <c r="M33" s="60"/>
      <c r="N33" s="61"/>
    </row>
    <row r="34" spans="1:14" s="8" customFormat="1" ht="17.25" customHeight="1" x14ac:dyDescent="0.3">
      <c r="A34" s="54"/>
      <c r="B34" s="59"/>
      <c r="C34" s="62"/>
      <c r="D34" s="62"/>
      <c r="E34" s="62"/>
      <c r="F34" s="62"/>
      <c r="G34" s="62"/>
      <c r="H34" s="62"/>
      <c r="I34" s="56"/>
      <c r="J34" s="56"/>
      <c r="K34" s="56"/>
      <c r="L34" s="60"/>
      <c r="M34" s="60"/>
      <c r="N34" s="61"/>
    </row>
    <row r="35" spans="1:14" s="8" customFormat="1" ht="18.75" x14ac:dyDescent="0.3">
      <c r="A35" s="54" t="s">
        <v>48</v>
      </c>
      <c r="B35" s="63">
        <f>B32/B33</f>
        <v>0.83136325347229023</v>
      </c>
      <c r="C35" s="48" t="s">
        <v>49</v>
      </c>
      <c r="D35" s="48"/>
      <c r="E35" s="48"/>
      <c r="F35" s="48"/>
      <c r="G35" s="48"/>
      <c r="H35" s="48"/>
      <c r="I35" s="56"/>
      <c r="J35" s="56"/>
      <c r="K35" s="56"/>
      <c r="L35" s="60"/>
      <c r="M35" s="60"/>
      <c r="N35" s="61"/>
    </row>
    <row r="36" spans="1:14" s="8" customFormat="1" ht="19.5" customHeight="1" x14ac:dyDescent="0.3">
      <c r="A36" s="54"/>
      <c r="B36" s="53"/>
      <c r="H36" s="48"/>
      <c r="I36" s="56"/>
      <c r="J36" s="56"/>
      <c r="K36" s="56"/>
      <c r="L36" s="60"/>
      <c r="M36" s="60"/>
      <c r="N36" s="61"/>
    </row>
    <row r="37" spans="1:14" s="8" customFormat="1" ht="27" customHeight="1" x14ac:dyDescent="0.4">
      <c r="A37" s="64" t="s">
        <v>50</v>
      </c>
      <c r="B37" s="144">
        <v>100</v>
      </c>
      <c r="C37" s="48"/>
      <c r="D37" s="242" t="s">
        <v>51</v>
      </c>
      <c r="E37" s="258"/>
      <c r="F37" s="104" t="s">
        <v>52</v>
      </c>
      <c r="G37" s="105"/>
      <c r="J37" s="56"/>
      <c r="K37" s="56"/>
      <c r="L37" s="60"/>
      <c r="M37" s="60"/>
      <c r="N37" s="61"/>
    </row>
    <row r="38" spans="1:14" s="8" customFormat="1" ht="26.25" customHeight="1" x14ac:dyDescent="0.4">
      <c r="A38" s="65" t="s">
        <v>53</v>
      </c>
      <c r="B38" s="145">
        <v>1</v>
      </c>
      <c r="C38" s="67" t="s">
        <v>54</v>
      </c>
      <c r="D38" s="68" t="s">
        <v>55</v>
      </c>
      <c r="E38" s="97" t="s">
        <v>56</v>
      </c>
      <c r="F38" s="68" t="s">
        <v>55</v>
      </c>
      <c r="G38" s="69" t="s">
        <v>56</v>
      </c>
      <c r="J38" s="56"/>
      <c r="K38" s="56"/>
      <c r="L38" s="60"/>
      <c r="M38" s="60"/>
      <c r="N38" s="61"/>
    </row>
    <row r="39" spans="1:14" s="8" customFormat="1" ht="26.25" customHeight="1" x14ac:dyDescent="0.4">
      <c r="A39" s="65" t="s">
        <v>57</v>
      </c>
      <c r="B39" s="145">
        <v>1</v>
      </c>
      <c r="C39" s="70">
        <v>1</v>
      </c>
      <c r="D39" s="166">
        <f>32260073+34170049</f>
        <v>66430122</v>
      </c>
      <c r="E39" s="167">
        <f>IF(ISBLANK(D39),"-",$D$49/$D$46*D39)</f>
        <v>70172169.662600219</v>
      </c>
      <c r="F39" s="166">
        <f>31230487+33080956</f>
        <v>64311443</v>
      </c>
      <c r="G39" s="167">
        <f>IF(ISBLANK(F39),"-",$D$49/$F$46*F39)</f>
        <v>69130253.852395877</v>
      </c>
      <c r="J39" s="56"/>
      <c r="K39" s="56"/>
      <c r="L39" s="60"/>
      <c r="M39" s="60"/>
      <c r="N39" s="61"/>
    </row>
    <row r="40" spans="1:14" s="8" customFormat="1" ht="26.25" customHeight="1" x14ac:dyDescent="0.4">
      <c r="A40" s="65" t="s">
        <v>58</v>
      </c>
      <c r="B40" s="145">
        <v>1</v>
      </c>
      <c r="C40" s="66">
        <v>2</v>
      </c>
      <c r="D40" s="168">
        <f>31987472+33872252</f>
        <v>65859724</v>
      </c>
      <c r="E40" s="167">
        <f>IF(ISBLANK(D40),"-",$D$49/$D$46*D40)</f>
        <v>69569640.809330791</v>
      </c>
      <c r="F40" s="168">
        <f>31212867+33055970</f>
        <v>64268837</v>
      </c>
      <c r="G40" s="167">
        <f t="shared" ref="G40:G41" si="0">IF(ISBLANK(F40),"-",$D$49/$F$46*F40)</f>
        <v>69084455.415006816</v>
      </c>
      <c r="J40" s="56"/>
      <c r="K40" s="56"/>
      <c r="L40" s="60"/>
      <c r="M40" s="60"/>
      <c r="N40" s="61"/>
    </row>
    <row r="41" spans="1:14" ht="26.25" customHeight="1" x14ac:dyDescent="0.4">
      <c r="A41" s="65" t="s">
        <v>59</v>
      </c>
      <c r="B41" s="145">
        <v>1</v>
      </c>
      <c r="C41" s="66">
        <v>3</v>
      </c>
      <c r="D41" s="168">
        <f>32134405+34043838</f>
        <v>66178243</v>
      </c>
      <c r="E41" s="167">
        <f t="shared" ref="E41" si="1">IF(ISBLANK(D41),"-",$D$49/$D$46*D41)</f>
        <v>69906102.171072111</v>
      </c>
      <c r="F41" s="168">
        <f>31214456+33066286</f>
        <v>64280742</v>
      </c>
      <c r="G41" s="167">
        <f t="shared" si="0"/>
        <v>69097252.448220849</v>
      </c>
      <c r="L41" s="60"/>
      <c r="M41" s="60"/>
      <c r="N41" s="71"/>
    </row>
    <row r="42" spans="1:14" ht="26.25" customHeight="1" x14ac:dyDescent="0.4">
      <c r="A42" s="65" t="s">
        <v>60</v>
      </c>
      <c r="B42" s="145">
        <v>1</v>
      </c>
      <c r="C42" s="72">
        <v>4</v>
      </c>
      <c r="D42" s="169"/>
      <c r="E42" s="170" t="str">
        <f>IF(ISBLANK(D42),"-",$D$103/$D$100*D42)</f>
        <v>-</v>
      </c>
      <c r="F42" s="169"/>
      <c r="G42" s="170" t="str">
        <f>IF(ISBLANK(F42),"-",$D$103/$F$100*F42)</f>
        <v>-</v>
      </c>
      <c r="L42" s="60"/>
      <c r="M42" s="60"/>
      <c r="N42" s="71"/>
    </row>
    <row r="43" spans="1:14" ht="27" customHeight="1" thickBot="1" x14ac:dyDescent="0.45">
      <c r="A43" s="65" t="s">
        <v>61</v>
      </c>
      <c r="B43" s="145">
        <v>1</v>
      </c>
      <c r="C43" s="73" t="s">
        <v>62</v>
      </c>
      <c r="D43" s="171">
        <f>AVERAGE(D39:D42)</f>
        <v>66156029.666666664</v>
      </c>
      <c r="E43" s="172">
        <f>AVERAGE(E39:E42)</f>
        <v>69882637.547667697</v>
      </c>
      <c r="F43" s="171">
        <f>AVERAGE(F39:F42)</f>
        <v>64287007.333333336</v>
      </c>
      <c r="G43" s="172">
        <f>AVERAGE(G39:G42)</f>
        <v>69103987.238541186</v>
      </c>
    </row>
    <row r="44" spans="1:14" ht="26.25" customHeight="1" x14ac:dyDescent="0.4">
      <c r="A44" s="65" t="s">
        <v>63</v>
      </c>
      <c r="B44" s="140">
        <v>1</v>
      </c>
      <c r="C44" s="126" t="s">
        <v>64</v>
      </c>
      <c r="D44" s="173">
        <v>28.32</v>
      </c>
      <c r="E44" s="174"/>
      <c r="F44" s="175">
        <v>27.83</v>
      </c>
      <c r="G44" s="176"/>
    </row>
    <row r="45" spans="1:14" ht="26.25" customHeight="1" x14ac:dyDescent="0.4">
      <c r="A45" s="65" t="s">
        <v>65</v>
      </c>
      <c r="B45" s="140">
        <v>1</v>
      </c>
      <c r="C45" s="127" t="s">
        <v>66</v>
      </c>
      <c r="D45" s="128">
        <f>D44*$B$35</f>
        <v>23.544207338335259</v>
      </c>
      <c r="E45" s="75"/>
      <c r="F45" s="74">
        <f>F44*$B$35</f>
        <v>23.136839344133836</v>
      </c>
      <c r="G45" s="77"/>
    </row>
    <row r="46" spans="1:14" ht="19.5" customHeight="1" x14ac:dyDescent="0.3">
      <c r="A46" s="65" t="s">
        <v>67</v>
      </c>
      <c r="B46" s="125">
        <f>(B45/B44)*(B43/B42)*(B41/B40)*(B39/B38)*B37</f>
        <v>100</v>
      </c>
      <c r="C46" s="127" t="s">
        <v>68</v>
      </c>
      <c r="D46" s="129">
        <f>D45*$B$31/100</f>
        <v>22.720160081493521</v>
      </c>
      <c r="E46" s="77"/>
      <c r="F46" s="76">
        <f>F45*$B$31/100</f>
        <v>22.327049967089152</v>
      </c>
      <c r="G46" s="77"/>
    </row>
    <row r="47" spans="1:14" ht="19.5" customHeight="1" x14ac:dyDescent="0.3">
      <c r="A47" s="244" t="s">
        <v>69</v>
      </c>
      <c r="B47" s="245"/>
      <c r="C47" s="127" t="s">
        <v>70</v>
      </c>
      <c r="D47" s="128">
        <f>D46/$B$46</f>
        <v>0.22720160081493521</v>
      </c>
      <c r="E47" s="77"/>
      <c r="F47" s="78">
        <f>F46/$B$46</f>
        <v>0.22327049967089152</v>
      </c>
      <c r="G47" s="77"/>
    </row>
    <row r="48" spans="1:14" ht="27" customHeight="1" x14ac:dyDescent="0.4">
      <c r="A48" s="246"/>
      <c r="B48" s="247"/>
      <c r="C48" s="127" t="s">
        <v>71</v>
      </c>
      <c r="D48" s="147">
        <v>0.24</v>
      </c>
      <c r="E48" s="106"/>
      <c r="F48" s="106"/>
      <c r="G48" s="106"/>
    </row>
    <row r="49" spans="1:12" ht="18.75" x14ac:dyDescent="0.3">
      <c r="C49" s="127" t="s">
        <v>72</v>
      </c>
      <c r="D49" s="129">
        <f>D48*$B$46</f>
        <v>24</v>
      </c>
      <c r="E49" s="77"/>
      <c r="F49" s="77"/>
      <c r="G49" s="77"/>
    </row>
    <row r="50" spans="1:12" ht="19.5" customHeight="1" x14ac:dyDescent="0.3">
      <c r="C50" s="130" t="s">
        <v>73</v>
      </c>
      <c r="D50" s="131">
        <f>D49/B35</f>
        <v>28.868247303162686</v>
      </c>
      <c r="E50" s="95"/>
      <c r="F50" s="95"/>
      <c r="G50" s="95"/>
    </row>
    <row r="51" spans="1:12" ht="18.75" x14ac:dyDescent="0.3">
      <c r="C51" s="132" t="s">
        <v>74</v>
      </c>
      <c r="D51" s="133">
        <f>AVERAGE(E39:E42,G39:G42)</f>
        <v>69493312.393104449</v>
      </c>
      <c r="E51" s="94"/>
      <c r="F51" s="94"/>
      <c r="G51" s="94"/>
    </row>
    <row r="52" spans="1:12" ht="18.75" x14ac:dyDescent="0.3">
      <c r="C52" s="79" t="s">
        <v>75</v>
      </c>
      <c r="D52" s="82">
        <f>STDEV(E39:E42,G39:G42)/D51</f>
        <v>6.7276550340871722E-3</v>
      </c>
      <c r="E52" s="75"/>
      <c r="F52" s="75"/>
      <c r="G52" s="75"/>
    </row>
    <row r="53" spans="1:12" ht="19.5" customHeight="1" x14ac:dyDescent="0.3">
      <c r="C53" s="80" t="s">
        <v>19</v>
      </c>
      <c r="D53" s="83">
        <f>COUNT(E39:E42,G39:G42)</f>
        <v>6</v>
      </c>
      <c r="E53" s="75"/>
      <c r="F53" s="75"/>
      <c r="G53" s="75"/>
    </row>
    <row r="55" spans="1:12" ht="18.75" x14ac:dyDescent="0.3">
      <c r="A55" s="47" t="s">
        <v>1</v>
      </c>
      <c r="B55" s="84" t="s">
        <v>76</v>
      </c>
    </row>
    <row r="56" spans="1:12" ht="18.75" x14ac:dyDescent="0.3">
      <c r="A56" s="48" t="s">
        <v>77</v>
      </c>
      <c r="B56" s="50" t="str">
        <f>B21</f>
        <v>Each 5ml of the reconstituted suspension contains: Cefuroxime Axetil (Amorphous) USP eq. to Cefuroxime 125 mg</v>
      </c>
    </row>
    <row r="57" spans="1:12" ht="26.25" customHeight="1" x14ac:dyDescent="0.4">
      <c r="A57" s="135" t="s">
        <v>78</v>
      </c>
      <c r="B57" s="148">
        <v>5</v>
      </c>
      <c r="C57" s="116" t="s">
        <v>79</v>
      </c>
      <c r="D57" s="149">
        <v>125</v>
      </c>
      <c r="E57" s="116" t="str">
        <f>B20</f>
        <v xml:space="preserve">Cefuroxime Axetil </v>
      </c>
    </row>
    <row r="58" spans="1:12" ht="18.75" x14ac:dyDescent="0.3">
      <c r="A58" s="50" t="s">
        <v>80</v>
      </c>
      <c r="B58" s="158">
        <f>'Relative Density'!C39</f>
        <v>1.1759067064697788</v>
      </c>
    </row>
    <row r="59" spans="1:12" s="72" customFormat="1" ht="18.75" x14ac:dyDescent="0.3">
      <c r="A59" s="114" t="s">
        <v>81</v>
      </c>
      <c r="B59" s="115">
        <f>B57</f>
        <v>5</v>
      </c>
      <c r="C59" s="116" t="s">
        <v>82</v>
      </c>
      <c r="D59" s="136">
        <f>B58*B57</f>
        <v>5.8795335323488942</v>
      </c>
      <c r="E59" s="230"/>
      <c r="F59" s="230"/>
      <c r="G59" s="230"/>
      <c r="H59" s="230"/>
      <c r="I59" s="230"/>
      <c r="J59" s="230"/>
    </row>
    <row r="60" spans="1:12" ht="19.5" customHeight="1" x14ac:dyDescent="0.25"/>
    <row r="61" spans="1:12" s="8" customFormat="1" ht="27" customHeight="1" x14ac:dyDescent="0.4">
      <c r="A61" s="64" t="s">
        <v>83</v>
      </c>
      <c r="B61" s="144">
        <v>50</v>
      </c>
      <c r="C61" s="48"/>
      <c r="D61" s="86" t="s">
        <v>84</v>
      </c>
      <c r="E61" s="85" t="s">
        <v>85</v>
      </c>
      <c r="F61" s="85" t="s">
        <v>55</v>
      </c>
      <c r="G61" s="85" t="s">
        <v>86</v>
      </c>
      <c r="H61" s="67" t="s">
        <v>87</v>
      </c>
      <c r="L61" s="56"/>
    </row>
    <row r="62" spans="1:12" s="8" customFormat="1" ht="24" customHeight="1" x14ac:dyDescent="0.4">
      <c r="A62" s="65" t="s">
        <v>88</v>
      </c>
      <c r="B62" s="145">
        <v>4</v>
      </c>
      <c r="C62" s="248" t="s">
        <v>89</v>
      </c>
      <c r="D62" s="251">
        <v>8.6267999999999994</v>
      </c>
      <c r="E62" s="109">
        <v>1</v>
      </c>
      <c r="F62" s="150">
        <f>43673771+47141248</f>
        <v>90815019</v>
      </c>
      <c r="G62" s="121">
        <f>IF(ISBLANK(F62),"-",(F62/$D$51*$D$48*$B$70)*$D$59/$D$62)</f>
        <v>133.59772611598081</v>
      </c>
      <c r="H62" s="118">
        <f t="shared" ref="H62:H73" si="2">IF(ISBLANK(F62),"-",G62/$D$57)</f>
        <v>1.0687818089278465</v>
      </c>
      <c r="L62" s="56"/>
    </row>
    <row r="63" spans="1:12" s="8" customFormat="1" ht="26.25" customHeight="1" x14ac:dyDescent="0.4">
      <c r="A63" s="65" t="s">
        <v>90</v>
      </c>
      <c r="B63" s="145">
        <v>50</v>
      </c>
      <c r="C63" s="249"/>
      <c r="D63" s="252"/>
      <c r="E63" s="110">
        <v>2</v>
      </c>
      <c r="F63" s="146">
        <f>43429598+47280944</f>
        <v>90710542</v>
      </c>
      <c r="G63" s="122">
        <f>IF(ISBLANK(F63),"-",(F63/$D$51*$D$48*$B$70)*$D$59/$D$62)</f>
        <v>133.44403028697459</v>
      </c>
      <c r="H63" s="119">
        <f t="shared" si="2"/>
        <v>1.0675522422957968</v>
      </c>
      <c r="L63" s="56"/>
    </row>
    <row r="64" spans="1:12" s="8" customFormat="1" ht="24.75" customHeight="1" x14ac:dyDescent="0.4">
      <c r="A64" s="65" t="s">
        <v>91</v>
      </c>
      <c r="B64" s="145">
        <v>1</v>
      </c>
      <c r="C64" s="249"/>
      <c r="D64" s="252"/>
      <c r="E64" s="110">
        <v>3</v>
      </c>
      <c r="F64" s="146">
        <f>43550063+47395767</f>
        <v>90945830</v>
      </c>
      <c r="G64" s="122">
        <f>IF(ISBLANK(F64),"-",(F64/$D$51*$D$48*$B$70)*$D$59/$D$62)</f>
        <v>133.79016182037634</v>
      </c>
      <c r="H64" s="119">
        <f t="shared" si="2"/>
        <v>1.0703212945630107</v>
      </c>
      <c r="L64" s="56"/>
    </row>
    <row r="65" spans="1:11" ht="27" customHeight="1" x14ac:dyDescent="0.4">
      <c r="A65" s="65" t="s">
        <v>92</v>
      </c>
      <c r="B65" s="145">
        <v>1</v>
      </c>
      <c r="C65" s="250"/>
      <c r="D65" s="253"/>
      <c r="E65" s="111">
        <v>4</v>
      </c>
      <c r="F65" s="151"/>
      <c r="G65" s="122" t="str">
        <f>IF(ISBLANK(F65),"-",(F65/$D$51*$D$48*$B$70)*$D$59/$D$62)</f>
        <v>-</v>
      </c>
      <c r="H65" s="119" t="str">
        <f t="shared" si="2"/>
        <v>-</v>
      </c>
    </row>
    <row r="66" spans="1:11" ht="24.75" customHeight="1" x14ac:dyDescent="0.4">
      <c r="A66" s="65" t="s">
        <v>93</v>
      </c>
      <c r="B66" s="145">
        <v>1</v>
      </c>
      <c r="C66" s="248" t="s">
        <v>94</v>
      </c>
      <c r="D66" s="251">
        <v>7.6085000000000003</v>
      </c>
      <c r="E66" s="87">
        <v>1</v>
      </c>
      <c r="F66" s="146">
        <f>38253132+41685307</f>
        <v>79938439</v>
      </c>
      <c r="G66" s="121">
        <f>IF(ISBLANK(F66),"-",(F66/$D$51*$D$48*$B$70)*$D$59/$D$66)</f>
        <v>133.33609634526263</v>
      </c>
      <c r="H66" s="118">
        <f t="shared" si="2"/>
        <v>1.0666887707621011</v>
      </c>
    </row>
    <row r="67" spans="1:11" ht="23.25" customHeight="1" x14ac:dyDescent="0.4">
      <c r="A67" s="65" t="s">
        <v>95</v>
      </c>
      <c r="B67" s="145">
        <v>1</v>
      </c>
      <c r="C67" s="249"/>
      <c r="D67" s="252"/>
      <c r="E67" s="88">
        <v>2</v>
      </c>
      <c r="F67" s="146">
        <f>38215682+41612607</f>
        <v>79828289</v>
      </c>
      <c r="G67" s="122">
        <f>IF(ISBLANK(F67),"-",(F67/$D$51*$D$48*$B$70)*$D$59/$D$66)</f>
        <v>133.15236782621523</v>
      </c>
      <c r="H67" s="119">
        <f t="shared" si="2"/>
        <v>1.0652189426097218</v>
      </c>
    </row>
    <row r="68" spans="1:11" ht="24.75" customHeight="1" x14ac:dyDescent="0.4">
      <c r="A68" s="65" t="s">
        <v>96</v>
      </c>
      <c r="B68" s="145">
        <v>1</v>
      </c>
      <c r="C68" s="249"/>
      <c r="D68" s="252"/>
      <c r="E68" s="88">
        <v>3</v>
      </c>
      <c r="F68" s="146">
        <f>38365901+41774516</f>
        <v>80140417</v>
      </c>
      <c r="G68" s="122">
        <f>IF(ISBLANK(F68),"-",(F68/$D$51*$D$48*$B$70)*$D$59/$D$66)</f>
        <v>133.67299256696174</v>
      </c>
      <c r="H68" s="119">
        <f t="shared" si="2"/>
        <v>1.069383940535694</v>
      </c>
    </row>
    <row r="69" spans="1:11" ht="27" customHeight="1" x14ac:dyDescent="0.4">
      <c r="A69" s="65" t="s">
        <v>97</v>
      </c>
      <c r="B69" s="145">
        <v>1</v>
      </c>
      <c r="C69" s="250"/>
      <c r="D69" s="253"/>
      <c r="E69" s="89">
        <v>4</v>
      </c>
      <c r="F69" s="151"/>
      <c r="G69" s="123" t="str">
        <f>IF(ISBLANK(F69),"-",(F69/$D$51*$D$48*$B$70)*$D$59/$D$66)</f>
        <v>-</v>
      </c>
      <c r="H69" s="120" t="str">
        <f t="shared" si="2"/>
        <v>-</v>
      </c>
    </row>
    <row r="70" spans="1:11" ht="23.25" customHeight="1" x14ac:dyDescent="0.4">
      <c r="A70" s="65" t="s">
        <v>98</v>
      </c>
      <c r="B70" s="124">
        <f>(B69/B68)*(B67/B66)*(B65/B64)*(B63/B62)*B61</f>
        <v>625</v>
      </c>
      <c r="C70" s="248" t="s">
        <v>99</v>
      </c>
      <c r="D70" s="251">
        <v>6.9978999999999996</v>
      </c>
      <c r="E70" s="87">
        <v>1</v>
      </c>
      <c r="F70" s="150">
        <f>36179897+39482868</f>
        <v>75662765</v>
      </c>
      <c r="G70" s="121">
        <f>IF(ISBLANK(F70),"-",(F70/$D$51*$D$48*$B$70)*$D$59/$D$70)</f>
        <v>137.2162649970289</v>
      </c>
      <c r="H70" s="119">
        <f t="shared" si="2"/>
        <v>1.0977301199762313</v>
      </c>
    </row>
    <row r="71" spans="1:11" ht="22.5" customHeight="1" x14ac:dyDescent="0.4">
      <c r="A71" s="134" t="s">
        <v>100</v>
      </c>
      <c r="B71" s="152">
        <f>(D48*B70)/D57*D59</f>
        <v>7.0554402388186732</v>
      </c>
      <c r="C71" s="249"/>
      <c r="D71" s="252"/>
      <c r="E71" s="88">
        <v>2</v>
      </c>
      <c r="F71" s="146">
        <f>36318274+39607510</f>
        <v>75925784</v>
      </c>
      <c r="G71" s="122">
        <f>IF(ISBLANK(F71),"-",(F71/$D$51*$D$48*$B$70)*$D$59/$D$70)</f>
        <v>137.69325635206664</v>
      </c>
      <c r="H71" s="119">
        <f t="shared" si="2"/>
        <v>1.1015460508165331</v>
      </c>
    </row>
    <row r="72" spans="1:11" ht="23.25" customHeight="1" x14ac:dyDescent="0.4">
      <c r="A72" s="244" t="s">
        <v>69</v>
      </c>
      <c r="B72" s="255"/>
      <c r="C72" s="249"/>
      <c r="D72" s="252"/>
      <c r="E72" s="88">
        <v>3</v>
      </c>
      <c r="F72" s="146">
        <f>36216634+39502881</f>
        <v>75719515</v>
      </c>
      <c r="G72" s="122">
        <f>IF(ISBLANK(F72),"-",(F72/$D$51*$D$48*$B$70)*$D$59/$D$70)</f>
        <v>137.31918250260225</v>
      </c>
      <c r="H72" s="119">
        <f t="shared" si="2"/>
        <v>1.098553460020818</v>
      </c>
    </row>
    <row r="73" spans="1:11" ht="23.25" customHeight="1" x14ac:dyDescent="0.4">
      <c r="A73" s="246"/>
      <c r="B73" s="256"/>
      <c r="C73" s="254"/>
      <c r="D73" s="253"/>
      <c r="E73" s="89">
        <v>4</v>
      </c>
      <c r="F73" s="151"/>
      <c r="G73" s="123" t="str">
        <f>IF(ISBLANK(F73),"-",(F73/$D$51*$D$48*$B$70)*$D$59/$D$70)</f>
        <v>-</v>
      </c>
      <c r="H73" s="120" t="str">
        <f t="shared" si="2"/>
        <v>-</v>
      </c>
    </row>
    <row r="74" spans="1:11" ht="26.25" customHeight="1" x14ac:dyDescent="0.4">
      <c r="A74" s="90"/>
      <c r="B74" s="90"/>
      <c r="C74" s="90"/>
      <c r="D74" s="90"/>
      <c r="E74" s="90"/>
      <c r="F74" s="91"/>
      <c r="G74" s="81" t="s">
        <v>62</v>
      </c>
      <c r="H74" s="153">
        <f>AVERAGE(H62:H73)</f>
        <v>1.0784196256119727</v>
      </c>
    </row>
    <row r="75" spans="1:11" ht="26.25" customHeight="1" x14ac:dyDescent="0.4">
      <c r="C75" s="90"/>
      <c r="D75" s="90"/>
      <c r="E75" s="90"/>
      <c r="F75" s="91"/>
      <c r="G75" s="79" t="s">
        <v>75</v>
      </c>
      <c r="H75" s="154">
        <f>STDEV(H62:H73)/H74</f>
        <v>1.4599857988231543E-2</v>
      </c>
    </row>
    <row r="76" spans="1:11" ht="27" customHeight="1" x14ac:dyDescent="0.4">
      <c r="A76" s="90"/>
      <c r="B76" s="90"/>
      <c r="C76" s="91"/>
      <c r="D76" s="92"/>
      <c r="E76" s="92"/>
      <c r="F76" s="91"/>
      <c r="G76" s="80" t="s">
        <v>19</v>
      </c>
      <c r="H76" s="155">
        <f>COUNT(H62:H73)</f>
        <v>9</v>
      </c>
    </row>
    <row r="77" spans="1:11" ht="18.75" x14ac:dyDescent="0.3">
      <c r="A77" s="90"/>
      <c r="B77" s="90"/>
      <c r="C77" s="91"/>
      <c r="D77" s="92"/>
      <c r="E77" s="92"/>
      <c r="F77" s="92"/>
      <c r="G77" s="92"/>
      <c r="H77" s="91"/>
      <c r="I77" s="93"/>
      <c r="J77" s="96"/>
      <c r="K77" s="107"/>
    </row>
    <row r="78" spans="1:11" ht="26.25" customHeight="1" x14ac:dyDescent="0.4">
      <c r="A78" s="52" t="s">
        <v>101</v>
      </c>
      <c r="B78" s="156" t="s">
        <v>102</v>
      </c>
      <c r="C78" s="233" t="str">
        <f>B20</f>
        <v xml:space="preserve">Cefuroxime Axetil </v>
      </c>
      <c r="D78" s="233"/>
      <c r="E78" s="108" t="s">
        <v>103</v>
      </c>
      <c r="F78" s="108"/>
      <c r="G78" s="157">
        <f>H74</f>
        <v>1.0784196256119727</v>
      </c>
      <c r="H78" s="91"/>
      <c r="I78" s="93"/>
      <c r="J78" s="96"/>
      <c r="K78" s="107"/>
    </row>
    <row r="79" spans="1:11" ht="19.5" customHeight="1" x14ac:dyDescent="0.3">
      <c r="A79" s="100"/>
      <c r="B79" s="101"/>
      <c r="C79" s="102"/>
      <c r="D79" s="102"/>
      <c r="E79" s="101"/>
      <c r="F79" s="101"/>
      <c r="G79" s="101"/>
      <c r="H79" s="101"/>
    </row>
    <row r="80" spans="1:11" ht="18.75" x14ac:dyDescent="0.3">
      <c r="A80" s="47" t="s">
        <v>1</v>
      </c>
      <c r="B80" s="233" t="s">
        <v>104</v>
      </c>
      <c r="C80" s="233"/>
      <c r="D80" s="233"/>
      <c r="E80" s="233"/>
      <c r="F80" s="233"/>
      <c r="G80" s="233"/>
      <c r="H80" s="233"/>
    </row>
    <row r="81" spans="1:8" ht="26.25" customHeight="1" x14ac:dyDescent="0.4">
      <c r="A81" s="52" t="s">
        <v>4</v>
      </c>
      <c r="B81" s="257" t="s">
        <v>105</v>
      </c>
      <c r="C81" s="257"/>
    </row>
    <row r="82" spans="1:8" ht="26.25" customHeight="1" x14ac:dyDescent="0.4">
      <c r="A82" s="54" t="s">
        <v>40</v>
      </c>
      <c r="B82" s="235" t="s">
        <v>114</v>
      </c>
      <c r="C82" s="235"/>
    </row>
    <row r="83" spans="1:8" ht="27" customHeight="1" x14ac:dyDescent="0.4">
      <c r="A83" s="54" t="s">
        <v>6</v>
      </c>
      <c r="B83" s="177">
        <v>96.5</v>
      </c>
    </row>
    <row r="84" spans="1:8" ht="27" customHeight="1" x14ac:dyDescent="0.4">
      <c r="A84" s="54" t="s">
        <v>41</v>
      </c>
      <c r="B84" s="139">
        <v>0</v>
      </c>
      <c r="C84" s="236" t="s">
        <v>42</v>
      </c>
      <c r="D84" s="237"/>
      <c r="E84" s="237"/>
      <c r="F84" s="237"/>
      <c r="G84" s="237"/>
      <c r="H84" s="238"/>
    </row>
    <row r="85" spans="1:8" ht="19.5" customHeight="1" x14ac:dyDescent="0.3">
      <c r="A85" s="54" t="s">
        <v>43</v>
      </c>
      <c r="B85" s="53">
        <f>B83-B84</f>
        <v>96.5</v>
      </c>
      <c r="C85" s="57"/>
      <c r="D85" s="57"/>
      <c r="E85" s="57"/>
      <c r="F85" s="57"/>
      <c r="G85" s="57"/>
      <c r="H85" s="58"/>
    </row>
    <row r="86" spans="1:8" ht="27" customHeight="1" x14ac:dyDescent="0.4">
      <c r="A86" s="54" t="s">
        <v>44</v>
      </c>
      <c r="B86" s="165">
        <v>424.38600000000002</v>
      </c>
      <c r="C86" s="239" t="s">
        <v>45</v>
      </c>
      <c r="D86" s="240"/>
      <c r="E86" s="240"/>
      <c r="F86" s="240"/>
      <c r="G86" s="240"/>
      <c r="H86" s="241"/>
    </row>
    <row r="87" spans="1:8" ht="27" customHeight="1" x14ac:dyDescent="0.4">
      <c r="A87" s="54" t="s">
        <v>46</v>
      </c>
      <c r="B87" s="165">
        <v>510.47</v>
      </c>
      <c r="C87" s="239" t="s">
        <v>47</v>
      </c>
      <c r="D87" s="240"/>
      <c r="E87" s="240"/>
      <c r="F87" s="240"/>
      <c r="G87" s="240"/>
      <c r="H87" s="241"/>
    </row>
    <row r="88" spans="1:8" ht="18.75" x14ac:dyDescent="0.3">
      <c r="A88" s="54"/>
      <c r="B88" s="59"/>
      <c r="C88" s="62"/>
      <c r="D88" s="62"/>
      <c r="E88" s="62"/>
      <c r="F88" s="62"/>
      <c r="G88" s="62"/>
      <c r="H88" s="62"/>
    </row>
    <row r="89" spans="1:8" ht="18.75" x14ac:dyDescent="0.3">
      <c r="A89" s="54" t="s">
        <v>48</v>
      </c>
      <c r="B89" s="63">
        <f>B86/B87</f>
        <v>0.83136325347229023</v>
      </c>
      <c r="C89" s="48" t="s">
        <v>49</v>
      </c>
    </row>
    <row r="90" spans="1:8" ht="19.5" customHeight="1" x14ac:dyDescent="0.3">
      <c r="A90" s="54"/>
      <c r="B90" s="53"/>
      <c r="C90" s="55"/>
      <c r="D90" s="55"/>
      <c r="E90" s="55"/>
      <c r="F90" s="55"/>
      <c r="G90" s="55"/>
    </row>
    <row r="91" spans="1:8" ht="27" customHeight="1" x14ac:dyDescent="0.4">
      <c r="A91" s="64" t="s">
        <v>50</v>
      </c>
      <c r="B91" s="144">
        <v>100</v>
      </c>
      <c r="D91" s="242" t="s">
        <v>51</v>
      </c>
      <c r="E91" s="243"/>
      <c r="F91" s="104" t="s">
        <v>52</v>
      </c>
      <c r="G91" s="105"/>
      <c r="H91" s="55"/>
    </row>
    <row r="92" spans="1:8" ht="26.25" customHeight="1" x14ac:dyDescent="0.4">
      <c r="A92" s="65" t="s">
        <v>53</v>
      </c>
      <c r="B92" s="145">
        <v>1</v>
      </c>
      <c r="C92" s="67" t="s">
        <v>54</v>
      </c>
      <c r="D92" s="68" t="s">
        <v>55</v>
      </c>
      <c r="E92" s="69" t="s">
        <v>56</v>
      </c>
      <c r="F92" s="68" t="s">
        <v>55</v>
      </c>
      <c r="G92" s="69" t="s">
        <v>56</v>
      </c>
      <c r="H92" s="55"/>
    </row>
    <row r="93" spans="1:8" ht="26.25" customHeight="1" x14ac:dyDescent="0.4">
      <c r="A93" s="65" t="s">
        <v>57</v>
      </c>
      <c r="B93" s="145">
        <v>1</v>
      </c>
      <c r="C93" s="70">
        <v>1</v>
      </c>
      <c r="D93" s="166">
        <f>32260073+34170049</f>
        <v>66430122</v>
      </c>
      <c r="E93" s="167">
        <f>IF(ISBLANK(D93),"-",$D$49/$D$46*D93)</f>
        <v>70172169.662600219</v>
      </c>
      <c r="F93" s="166">
        <f>31230487+33080956</f>
        <v>64311443</v>
      </c>
      <c r="G93" s="167">
        <f>IF(ISBLANK(F93),"-",$D$49/$F$46*F93)</f>
        <v>69130253.852395877</v>
      </c>
      <c r="H93" s="55"/>
    </row>
    <row r="94" spans="1:8" ht="26.25" customHeight="1" x14ac:dyDescent="0.4">
      <c r="A94" s="65" t="s">
        <v>58</v>
      </c>
      <c r="B94" s="145">
        <v>1</v>
      </c>
      <c r="C94" s="66">
        <v>2</v>
      </c>
      <c r="D94" s="168">
        <f>31987472+33872252</f>
        <v>65859724</v>
      </c>
      <c r="E94" s="167">
        <f>IF(ISBLANK(D94),"-",$D$49/$D$46*D94)</f>
        <v>69569640.809330791</v>
      </c>
      <c r="F94" s="168">
        <f>31212867+33055970</f>
        <v>64268837</v>
      </c>
      <c r="G94" s="167">
        <f t="shared" ref="G94:G95" si="3">IF(ISBLANK(F94),"-",$D$49/$F$46*F94)</f>
        <v>69084455.415006816</v>
      </c>
      <c r="H94" s="55"/>
    </row>
    <row r="95" spans="1:8" ht="26.25" customHeight="1" x14ac:dyDescent="0.4">
      <c r="A95" s="65" t="s">
        <v>59</v>
      </c>
      <c r="B95" s="145">
        <v>1</v>
      </c>
      <c r="C95" s="66">
        <v>3</v>
      </c>
      <c r="D95" s="168">
        <f>32134405+34043838</f>
        <v>66178243</v>
      </c>
      <c r="E95" s="167">
        <f t="shared" ref="E95" si="4">IF(ISBLANK(D95),"-",$D$49/$D$46*D95)</f>
        <v>69906102.171072111</v>
      </c>
      <c r="F95" s="168">
        <f>31214456+33066286</f>
        <v>64280742</v>
      </c>
      <c r="G95" s="167">
        <f t="shared" si="3"/>
        <v>69097252.448220849</v>
      </c>
    </row>
    <row r="96" spans="1:8" ht="26.25" customHeight="1" x14ac:dyDescent="0.4">
      <c r="A96" s="65" t="s">
        <v>60</v>
      </c>
      <c r="B96" s="145">
        <v>1</v>
      </c>
      <c r="C96" s="72">
        <v>4</v>
      </c>
      <c r="D96" s="169"/>
      <c r="E96" s="170" t="str">
        <f>IF(ISBLANK(D96),"-",$D$103/$D$100*D96)</f>
        <v>-</v>
      </c>
      <c r="F96" s="169"/>
      <c r="G96" s="170" t="str">
        <f>IF(ISBLANK(F96),"-",$D$103/$F$100*F96)</f>
        <v>-</v>
      </c>
    </row>
    <row r="97" spans="1:7" ht="27" customHeight="1" x14ac:dyDescent="0.4">
      <c r="A97" s="65" t="s">
        <v>61</v>
      </c>
      <c r="B97" s="145">
        <v>1</v>
      </c>
      <c r="C97" s="73" t="s">
        <v>62</v>
      </c>
      <c r="D97" s="171">
        <f>AVERAGE(D93:D96)</f>
        <v>66156029.666666664</v>
      </c>
      <c r="E97" s="172">
        <f>AVERAGE(E93:E96)</f>
        <v>69882637.547667697</v>
      </c>
      <c r="F97" s="171">
        <f>AVERAGE(F93:F96)</f>
        <v>64287007.333333336</v>
      </c>
      <c r="G97" s="172">
        <f>AVERAGE(G93:G96)</f>
        <v>69103987.238541186</v>
      </c>
    </row>
    <row r="98" spans="1:7" ht="26.25" customHeight="1" x14ac:dyDescent="0.4">
      <c r="A98" s="65" t="s">
        <v>63</v>
      </c>
      <c r="B98" s="140">
        <v>1</v>
      </c>
      <c r="C98" s="126" t="s">
        <v>64</v>
      </c>
      <c r="D98" s="173">
        <v>28.32</v>
      </c>
      <c r="E98" s="174"/>
      <c r="F98" s="175">
        <v>27.83</v>
      </c>
      <c r="G98" s="176"/>
    </row>
    <row r="99" spans="1:7" ht="26.25" customHeight="1" x14ac:dyDescent="0.4">
      <c r="A99" s="65" t="s">
        <v>65</v>
      </c>
      <c r="B99" s="140">
        <v>1</v>
      </c>
      <c r="C99" s="127" t="s">
        <v>66</v>
      </c>
      <c r="D99" s="128">
        <f>D98*$B$89</f>
        <v>23.544207338335259</v>
      </c>
      <c r="E99" s="75"/>
      <c r="F99" s="74">
        <f>F98*$B$89</f>
        <v>23.136839344133836</v>
      </c>
      <c r="G99" s="77"/>
    </row>
    <row r="100" spans="1:7" ht="19.5" customHeight="1" x14ac:dyDescent="0.3">
      <c r="A100" s="65" t="s">
        <v>67</v>
      </c>
      <c r="B100" s="125">
        <f>(B99/B98)*(B97/B96)*(B95/B94)*(B93/B92)*B91</f>
        <v>100</v>
      </c>
      <c r="C100" s="127" t="s">
        <v>68</v>
      </c>
      <c r="D100" s="129">
        <f>D99*$B$85/100</f>
        <v>22.720160081493521</v>
      </c>
      <c r="E100" s="77"/>
      <c r="F100" s="76">
        <f>F99*$B$85/100</f>
        <v>22.327049967089152</v>
      </c>
      <c r="G100" s="77"/>
    </row>
    <row r="101" spans="1:7" ht="19.5" customHeight="1" x14ac:dyDescent="0.3">
      <c r="A101" s="244" t="s">
        <v>69</v>
      </c>
      <c r="B101" s="245"/>
      <c r="C101" s="127" t="s">
        <v>70</v>
      </c>
      <c r="D101" s="128">
        <f>D100/$B$100</f>
        <v>0.22720160081493521</v>
      </c>
      <c r="E101" s="77"/>
      <c r="F101" s="78">
        <f>F100/$B$100</f>
        <v>0.22327049967089152</v>
      </c>
      <c r="G101" s="77"/>
    </row>
    <row r="102" spans="1:7" ht="27" customHeight="1" x14ac:dyDescent="0.4">
      <c r="A102" s="246"/>
      <c r="B102" s="247"/>
      <c r="C102" s="127" t="s">
        <v>71</v>
      </c>
      <c r="D102" s="147">
        <v>0.24</v>
      </c>
      <c r="E102" s="106"/>
      <c r="F102" s="106"/>
      <c r="G102" s="106"/>
    </row>
    <row r="103" spans="1:7" ht="18.75" x14ac:dyDescent="0.3">
      <c r="C103" s="127" t="s">
        <v>72</v>
      </c>
      <c r="D103" s="129">
        <f>D102*$B$100</f>
        <v>24</v>
      </c>
      <c r="E103" s="77"/>
      <c r="F103" s="77"/>
      <c r="G103" s="77"/>
    </row>
    <row r="104" spans="1:7" ht="19.5" customHeight="1" x14ac:dyDescent="0.3">
      <c r="C104" s="130" t="s">
        <v>73</v>
      </c>
      <c r="D104" s="131">
        <f>D103/B89</f>
        <v>28.868247303162686</v>
      </c>
      <c r="E104" s="95"/>
      <c r="F104" s="95"/>
      <c r="G104" s="95"/>
    </row>
    <row r="105" spans="1:7" ht="18.75" x14ac:dyDescent="0.3">
      <c r="C105" s="132" t="s">
        <v>74</v>
      </c>
      <c r="D105" s="133">
        <f>AVERAGE(E93:E96,G93:G96)</f>
        <v>69493312.393104449</v>
      </c>
      <c r="E105" s="94"/>
      <c r="F105" s="94"/>
      <c r="G105" s="94"/>
    </row>
    <row r="106" spans="1:7" ht="18.75" x14ac:dyDescent="0.3">
      <c r="C106" s="79" t="s">
        <v>75</v>
      </c>
      <c r="D106" s="82">
        <f>STDEV(E93:E96,G93:G96)/D105</f>
        <v>6.7276550340871722E-3</v>
      </c>
      <c r="E106" s="75"/>
      <c r="F106" s="75"/>
      <c r="G106" s="75"/>
    </row>
    <row r="107" spans="1:7" ht="19.5" customHeight="1" x14ac:dyDescent="0.3">
      <c r="C107" s="80" t="s">
        <v>19</v>
      </c>
      <c r="D107" s="83">
        <f>COUNT(E93:E96,G93:G96)</f>
        <v>6</v>
      </c>
      <c r="E107" s="75"/>
      <c r="F107" s="75"/>
      <c r="G107" s="75"/>
    </row>
    <row r="109" spans="1:7" ht="18.75" x14ac:dyDescent="0.3">
      <c r="A109" s="47" t="s">
        <v>1</v>
      </c>
      <c r="B109" s="84" t="s">
        <v>76</v>
      </c>
    </row>
    <row r="110" spans="1:7" ht="18.75" x14ac:dyDescent="0.3">
      <c r="A110" s="48" t="s">
        <v>77</v>
      </c>
      <c r="B110" s="50" t="str">
        <f>B21</f>
        <v>Each 5ml of the reconstituted suspension contains: Cefuroxime Axetil (Amorphous) USP eq. to Cefuroxime 125 mg</v>
      </c>
    </row>
    <row r="111" spans="1:7" ht="26.25" customHeight="1" x14ac:dyDescent="0.4">
      <c r="A111" s="135" t="s">
        <v>78</v>
      </c>
      <c r="B111" s="148">
        <v>5</v>
      </c>
      <c r="C111" s="116" t="s">
        <v>79</v>
      </c>
      <c r="D111" s="149">
        <v>125</v>
      </c>
      <c r="E111" s="116" t="str">
        <f>B20</f>
        <v xml:space="preserve">Cefuroxime Axetil </v>
      </c>
    </row>
    <row r="112" spans="1:7" ht="18.75" x14ac:dyDescent="0.3">
      <c r="A112" s="50" t="s">
        <v>80</v>
      </c>
      <c r="B112" s="158">
        <f>B58</f>
        <v>1.1759067064697788</v>
      </c>
    </row>
    <row r="113" spans="1:8" ht="18.75" x14ac:dyDescent="0.3">
      <c r="A113" s="114" t="s">
        <v>81</v>
      </c>
      <c r="B113" s="115">
        <f>B111</f>
        <v>5</v>
      </c>
      <c r="C113" s="116" t="s">
        <v>82</v>
      </c>
      <c r="D113" s="136">
        <f>B112*B111</f>
        <v>5.8795335323488942</v>
      </c>
      <c r="E113" s="117"/>
      <c r="F113" s="117"/>
      <c r="G113" s="117"/>
      <c r="H113" s="117"/>
    </row>
    <row r="114" spans="1:8" ht="19.5" customHeight="1" x14ac:dyDescent="0.25"/>
    <row r="115" spans="1:8" ht="27" customHeight="1" thickBot="1" x14ac:dyDescent="0.45">
      <c r="A115" s="64" t="s">
        <v>83</v>
      </c>
      <c r="B115" s="144">
        <v>100</v>
      </c>
      <c r="D115" s="86" t="s">
        <v>84</v>
      </c>
      <c r="E115" s="85" t="s">
        <v>85</v>
      </c>
      <c r="F115" s="85" t="s">
        <v>55</v>
      </c>
      <c r="G115" s="85" t="s">
        <v>86</v>
      </c>
      <c r="H115" s="67" t="s">
        <v>87</v>
      </c>
    </row>
    <row r="116" spans="1:8" ht="26.25" customHeight="1" x14ac:dyDescent="0.4">
      <c r="A116" s="65" t="s">
        <v>88</v>
      </c>
      <c r="B116" s="145">
        <v>4</v>
      </c>
      <c r="C116" s="248" t="s">
        <v>89</v>
      </c>
      <c r="D116" s="251">
        <v>15.2332</v>
      </c>
      <c r="E116" s="109">
        <v>1</v>
      </c>
      <c r="F116" s="150">
        <f>36735768+40307570</f>
        <v>77043338</v>
      </c>
      <c r="G116" s="121">
        <f>IF(ISBLANK(F116),"-",(F116/$D$105*$D$102*$B$124)*$D$113/$D$116)</f>
        <v>128.37044903167146</v>
      </c>
      <c r="H116" s="162">
        <f t="shared" ref="H116:H127" si="5">IF(ISBLANK(F116),"-",G116/$D$111)</f>
        <v>1.0269635922533717</v>
      </c>
    </row>
    <row r="117" spans="1:8" ht="26.25" customHeight="1" x14ac:dyDescent="0.4">
      <c r="A117" s="65" t="s">
        <v>90</v>
      </c>
      <c r="B117" s="145">
        <v>50</v>
      </c>
      <c r="C117" s="249"/>
      <c r="D117" s="252"/>
      <c r="E117" s="110">
        <v>2</v>
      </c>
      <c r="F117" s="146">
        <f>36557568+40203745</f>
        <v>76761313</v>
      </c>
      <c r="G117" s="122">
        <f>IF(ISBLANK(F117),"-",(F117/$D$105*$D$102*$B$124)*$D$113/$D$116)</f>
        <v>127.90053590448899</v>
      </c>
      <c r="H117" s="163">
        <f t="shared" si="5"/>
        <v>1.0232042872359119</v>
      </c>
    </row>
    <row r="118" spans="1:8" ht="26.25" customHeight="1" x14ac:dyDescent="0.4">
      <c r="A118" s="65" t="s">
        <v>91</v>
      </c>
      <c r="B118" s="145">
        <v>1</v>
      </c>
      <c r="C118" s="249"/>
      <c r="D118" s="252"/>
      <c r="E118" s="110">
        <v>3</v>
      </c>
      <c r="F118" s="146">
        <f>36729822+40310498</f>
        <v>77040320</v>
      </c>
      <c r="G118" s="122">
        <f>IF(ISBLANK(F118),"-",(F118/$D$105*$D$102*$B$124)*$D$113/$D$116)</f>
        <v>128.3654204071955</v>
      </c>
      <c r="H118" s="163">
        <f t="shared" si="5"/>
        <v>1.0269233632575641</v>
      </c>
    </row>
    <row r="119" spans="1:8" ht="27" customHeight="1" thickBot="1" x14ac:dyDescent="0.45">
      <c r="A119" s="65" t="s">
        <v>92</v>
      </c>
      <c r="B119" s="145">
        <v>1</v>
      </c>
      <c r="C119" s="250"/>
      <c r="D119" s="253"/>
      <c r="E119" s="111">
        <v>4</v>
      </c>
      <c r="F119" s="151"/>
      <c r="G119" s="123" t="str">
        <f>IF(ISBLANK(F119),"-",(F119/$D$105*$D$102*$B$124)*$D$113/$D$116)</f>
        <v>-</v>
      </c>
      <c r="H119" s="164" t="str">
        <f t="shared" si="5"/>
        <v>-</v>
      </c>
    </row>
    <row r="120" spans="1:8" ht="26.25" customHeight="1" x14ac:dyDescent="0.4">
      <c r="A120" s="65" t="s">
        <v>93</v>
      </c>
      <c r="B120" s="145">
        <v>1</v>
      </c>
      <c r="C120" s="248" t="s">
        <v>94</v>
      </c>
      <c r="D120" s="251">
        <v>15.5627</v>
      </c>
      <c r="E120" s="87">
        <v>1</v>
      </c>
      <c r="F120" s="146">
        <f>37852106+41702789</f>
        <v>79554895</v>
      </c>
      <c r="G120" s="121">
        <f>IF(ISBLANK(F120),"-",(F120/$D$105*$D$102*$B$124)*$D$113/$D$120)</f>
        <v>129.74871778164868</v>
      </c>
      <c r="H120" s="162">
        <f t="shared" si="5"/>
        <v>1.0379897422531894</v>
      </c>
    </row>
    <row r="121" spans="1:8" ht="26.25" customHeight="1" x14ac:dyDescent="0.4">
      <c r="A121" s="65" t="s">
        <v>95</v>
      </c>
      <c r="B121" s="145">
        <v>1</v>
      </c>
      <c r="C121" s="249"/>
      <c r="D121" s="252"/>
      <c r="E121" s="88">
        <v>2</v>
      </c>
      <c r="F121" s="146">
        <f>37815115+41423639</f>
        <v>79238754</v>
      </c>
      <c r="G121" s="122">
        <f>IF(ISBLANK(F121),"-",(F121/$D$105*$D$102*$B$124)*$D$113/$D$120)</f>
        <v>129.23311293560866</v>
      </c>
      <c r="H121" s="163">
        <f t="shared" si="5"/>
        <v>1.0338649034848693</v>
      </c>
    </row>
    <row r="122" spans="1:8" ht="26.25" customHeight="1" x14ac:dyDescent="0.4">
      <c r="A122" s="65" t="s">
        <v>96</v>
      </c>
      <c r="B122" s="145">
        <v>1</v>
      </c>
      <c r="C122" s="249"/>
      <c r="D122" s="252"/>
      <c r="E122" s="88">
        <v>3</v>
      </c>
      <c r="F122" s="146">
        <f>38021593+41812745</f>
        <v>79834338</v>
      </c>
      <c r="G122" s="122">
        <f>IF(ISBLANK(F122),"-",(F122/$D$105*$D$102*$B$124)*$D$113/$D$120)</f>
        <v>130.2044706418977</v>
      </c>
      <c r="H122" s="163">
        <f t="shared" si="5"/>
        <v>1.0416357651351815</v>
      </c>
    </row>
    <row r="123" spans="1:8" ht="27" customHeight="1" thickBot="1" x14ac:dyDescent="0.45">
      <c r="A123" s="65" t="s">
        <v>97</v>
      </c>
      <c r="B123" s="145">
        <v>1</v>
      </c>
      <c r="C123" s="250"/>
      <c r="D123" s="253"/>
      <c r="E123" s="89">
        <v>4</v>
      </c>
      <c r="F123" s="151"/>
      <c r="G123" s="123" t="str">
        <f>IF(ISBLANK(F123),"-",(F123/$D$105*$D$102*$B$124)*$D$113/$D$120)</f>
        <v>-</v>
      </c>
      <c r="H123" s="164" t="str">
        <f t="shared" si="5"/>
        <v>-</v>
      </c>
    </row>
    <row r="124" spans="1:8" ht="26.25" customHeight="1" x14ac:dyDescent="0.4">
      <c r="A124" s="65" t="s">
        <v>98</v>
      </c>
      <c r="B124" s="124">
        <f>(B123/B122)*(B121/B120)*(B119/B118)*(B117/B116)*B115</f>
        <v>1250</v>
      </c>
      <c r="C124" s="248" t="s">
        <v>99</v>
      </c>
      <c r="D124" s="251">
        <v>15.7323</v>
      </c>
      <c r="E124" s="87">
        <v>1</v>
      </c>
      <c r="F124" s="150">
        <f>37527328+41338693</f>
        <v>78866021</v>
      </c>
      <c r="G124" s="121">
        <f>IF(ISBLANK(F124),"-",(F124/$D$105*$D$102*$B$124)*$D$113/$D$124)</f>
        <v>127.23858308279036</v>
      </c>
      <c r="H124" s="162">
        <f t="shared" si="5"/>
        <v>1.0179086646623228</v>
      </c>
    </row>
    <row r="125" spans="1:8" ht="27" customHeight="1" thickBot="1" x14ac:dyDescent="0.45">
      <c r="A125" s="134" t="s">
        <v>100</v>
      </c>
      <c r="B125" s="152">
        <f>(D102*B124)/D111*D113</f>
        <v>14.110880477637346</v>
      </c>
      <c r="C125" s="249"/>
      <c r="D125" s="252"/>
      <c r="E125" s="88">
        <v>2</v>
      </c>
      <c r="F125" s="146">
        <f>37734580+41367633</f>
        <v>79102213</v>
      </c>
      <c r="G125" s="122">
        <f>IF(ISBLANK(F125),"-",(F125/$D$105*$D$102*$B$124)*$D$113/$D$124)</f>
        <v>127.61964370984406</v>
      </c>
      <c r="H125" s="163">
        <f t="shared" si="5"/>
        <v>1.0209571496787524</v>
      </c>
    </row>
    <row r="126" spans="1:8" ht="26.25" customHeight="1" x14ac:dyDescent="0.4">
      <c r="A126" s="244" t="s">
        <v>69</v>
      </c>
      <c r="B126" s="255"/>
      <c r="C126" s="249"/>
      <c r="D126" s="252"/>
      <c r="E126" s="88">
        <v>3</v>
      </c>
      <c r="F126" s="146">
        <f>38445238+42141364</f>
        <v>80586602</v>
      </c>
      <c r="G126" s="122">
        <f>IF(ISBLANK(F126),"-",(F126/$D$105*$D$102*$B$124)*$D$113/$D$124)</f>
        <v>130.01448436122777</v>
      </c>
      <c r="H126" s="163">
        <f t="shared" si="5"/>
        <v>1.0401158748898223</v>
      </c>
    </row>
    <row r="127" spans="1:8" ht="27" customHeight="1" thickBot="1" x14ac:dyDescent="0.45">
      <c r="A127" s="246"/>
      <c r="B127" s="256"/>
      <c r="C127" s="254"/>
      <c r="D127" s="253"/>
      <c r="E127" s="89">
        <v>4</v>
      </c>
      <c r="F127" s="151"/>
      <c r="G127" s="123" t="str">
        <f>IF(ISBLANK(F127),"-",(F127/$D$105*$D$102*$B$124)*$D$113/$D$124)</f>
        <v>-</v>
      </c>
      <c r="H127" s="164" t="str">
        <f t="shared" si="5"/>
        <v>-</v>
      </c>
    </row>
    <row r="128" spans="1:8" ht="26.25" customHeight="1" x14ac:dyDescent="0.4">
      <c r="A128" s="90"/>
      <c r="B128" s="90"/>
      <c r="C128" s="90"/>
      <c r="D128" s="90" t="s">
        <v>115</v>
      </c>
      <c r="E128" s="90"/>
      <c r="F128" s="91"/>
      <c r="G128" s="81" t="s">
        <v>62</v>
      </c>
      <c r="H128" s="153">
        <f>AVERAGE(H116:H127)</f>
        <v>1.0299514825389986</v>
      </c>
    </row>
    <row r="129" spans="1:9" ht="26.25" customHeight="1" x14ac:dyDescent="0.4">
      <c r="C129" s="90"/>
      <c r="D129" s="90"/>
      <c r="E129" s="90"/>
      <c r="F129" s="91"/>
      <c r="G129" s="79" t="s">
        <v>75</v>
      </c>
      <c r="H129" s="154">
        <f>STDEV(H116:H127)/H128</f>
        <v>8.4734281790943798E-3</v>
      </c>
    </row>
    <row r="130" spans="1:9" ht="27" customHeight="1" x14ac:dyDescent="0.4">
      <c r="A130" s="90"/>
      <c r="B130" s="90"/>
      <c r="C130" s="91"/>
      <c r="D130" s="92"/>
      <c r="E130" s="92"/>
      <c r="F130" s="91"/>
      <c r="G130" s="80" t="s">
        <v>19</v>
      </c>
      <c r="H130" s="155">
        <f>COUNT(H116:H127)</f>
        <v>9</v>
      </c>
    </row>
    <row r="131" spans="1:9" ht="18.75" x14ac:dyDescent="0.3">
      <c r="A131" s="90"/>
      <c r="B131" s="90"/>
      <c r="C131" s="91"/>
      <c r="D131" s="92"/>
      <c r="E131" s="92"/>
      <c r="F131" s="92"/>
      <c r="G131" s="92"/>
      <c r="H131" s="91"/>
    </row>
    <row r="132" spans="1:9" ht="26.25" customHeight="1" x14ac:dyDescent="0.4">
      <c r="A132" s="52" t="s">
        <v>101</v>
      </c>
      <c r="B132" s="156" t="s">
        <v>102</v>
      </c>
      <c r="C132" s="233" t="str">
        <f>B20</f>
        <v xml:space="preserve">Cefuroxime Axetil </v>
      </c>
      <c r="D132" s="233"/>
      <c r="E132" s="108" t="s">
        <v>103</v>
      </c>
      <c r="F132" s="108"/>
      <c r="G132" s="157">
        <f>H128</f>
        <v>1.0299514825389986</v>
      </c>
      <c r="H132" s="91"/>
    </row>
    <row r="133" spans="1:9" ht="19.5" customHeight="1" x14ac:dyDescent="0.3">
      <c r="A133" s="160"/>
      <c r="B133" s="101"/>
      <c r="C133" s="102"/>
      <c r="D133" s="102"/>
      <c r="E133" s="101"/>
      <c r="F133" s="101"/>
      <c r="G133" s="101"/>
      <c r="H133" s="101"/>
    </row>
    <row r="134" spans="1:9" ht="54" customHeight="1" x14ac:dyDescent="0.3">
      <c r="A134" s="96" t="s">
        <v>28</v>
      </c>
      <c r="B134" s="137" t="s">
        <v>118</v>
      </c>
      <c r="C134" s="137"/>
      <c r="D134" s="90"/>
      <c r="E134" s="98"/>
      <c r="F134" s="93"/>
      <c r="G134" s="112"/>
      <c r="H134" s="112"/>
      <c r="I134" s="93"/>
    </row>
    <row r="135" spans="1:9" ht="51" customHeight="1" x14ac:dyDescent="0.3">
      <c r="A135" s="96" t="s">
        <v>29</v>
      </c>
      <c r="B135" s="138"/>
      <c r="C135" s="138"/>
      <c r="D135" s="103"/>
      <c r="E135" s="99"/>
      <c r="F135" s="93"/>
      <c r="G135" s="113"/>
      <c r="H135" s="113"/>
      <c r="I135" s="108"/>
    </row>
    <row r="136" spans="1:9" ht="18.75" x14ac:dyDescent="0.3">
      <c r="A136" s="90"/>
      <c r="B136" s="91"/>
      <c r="C136" s="92"/>
      <c r="D136" s="92"/>
      <c r="E136" s="92"/>
      <c r="F136" s="92"/>
      <c r="G136" s="91"/>
      <c r="H136" s="91"/>
      <c r="I136" s="93"/>
    </row>
    <row r="137" spans="1:9" ht="18.75" x14ac:dyDescent="0.3">
      <c r="A137" s="90"/>
      <c r="B137" s="90"/>
      <c r="C137" s="91"/>
      <c r="D137" s="92"/>
      <c r="E137" s="92"/>
      <c r="F137" s="92"/>
      <c r="G137" s="92"/>
      <c r="H137" s="91"/>
      <c r="I137" s="93"/>
    </row>
    <row r="138" spans="1:9" ht="27" customHeight="1" x14ac:dyDescent="0.3">
      <c r="A138" s="90"/>
      <c r="B138" s="90"/>
      <c r="C138" s="91"/>
      <c r="D138" s="92"/>
      <c r="E138" s="92"/>
      <c r="F138" s="92"/>
      <c r="G138" s="92"/>
      <c r="H138" s="91"/>
      <c r="I138" s="93"/>
    </row>
    <row r="139" spans="1:9" ht="18.75" x14ac:dyDescent="0.3">
      <c r="A139" s="90"/>
      <c r="B139" s="90"/>
      <c r="C139" s="91"/>
      <c r="D139" s="92"/>
      <c r="E139" s="92"/>
      <c r="F139" s="92"/>
      <c r="G139" s="92"/>
      <c r="H139" s="91"/>
      <c r="I139" s="93"/>
    </row>
    <row r="140" spans="1:9" ht="27" customHeight="1" x14ac:dyDescent="0.3">
      <c r="A140" s="90"/>
      <c r="B140" s="90"/>
      <c r="C140" s="91"/>
      <c r="D140" s="92"/>
      <c r="E140" s="92"/>
      <c r="F140" s="92"/>
      <c r="G140" s="92"/>
      <c r="H140" s="91"/>
      <c r="I140" s="93"/>
    </row>
    <row r="141" spans="1:9" ht="27" customHeight="1" x14ac:dyDescent="0.3">
      <c r="A141" s="90"/>
      <c r="B141" s="90"/>
      <c r="C141" s="91"/>
      <c r="D141" s="92"/>
      <c r="E141" s="92"/>
      <c r="F141" s="92"/>
      <c r="G141" s="92"/>
      <c r="H141" s="91"/>
      <c r="I141" s="93"/>
    </row>
    <row r="142" spans="1:9" ht="18.75" x14ac:dyDescent="0.3">
      <c r="A142" s="90"/>
      <c r="B142" s="90"/>
      <c r="C142" s="91"/>
      <c r="D142" s="92"/>
      <c r="E142" s="92"/>
      <c r="F142" s="92"/>
      <c r="G142" s="92"/>
      <c r="H142" s="91"/>
      <c r="I142" s="93"/>
    </row>
    <row r="143" spans="1:9" ht="18.75" x14ac:dyDescent="0.3">
      <c r="A143" s="90"/>
      <c r="B143" s="90"/>
      <c r="C143" s="91"/>
      <c r="D143" s="92"/>
      <c r="E143" s="92"/>
      <c r="F143" s="92"/>
      <c r="G143" s="92"/>
      <c r="H143" s="91"/>
      <c r="I143" s="93"/>
    </row>
    <row r="144" spans="1:9" ht="18.75" x14ac:dyDescent="0.3">
      <c r="A144" s="90"/>
      <c r="B144" s="90"/>
      <c r="C144" s="91"/>
      <c r="D144" s="92"/>
      <c r="E144" s="92"/>
      <c r="F144" s="92"/>
      <c r="G144" s="92"/>
      <c r="H144" s="91"/>
      <c r="I144" s="93"/>
    </row>
    <row r="250" spans="1:1" x14ac:dyDescent="0.25">
      <c r="A250" s="2">
        <v>0</v>
      </c>
    </row>
  </sheetData>
  <sheetProtection formatCells="0" formatColumns="0" formatRows="0" insertColumns="0" insertRows="0" insertHyperlinks="0" deleteColumns="0" deleteRows="0" sort="0" autoFilter="0" pivotTables="0"/>
  <mergeCells count="38">
    <mergeCell ref="A1:H7"/>
    <mergeCell ref="A8:H14"/>
    <mergeCell ref="A17:H17"/>
    <mergeCell ref="A16:H16"/>
    <mergeCell ref="B27:C27"/>
    <mergeCell ref="B26:H26"/>
    <mergeCell ref="B18:C18"/>
    <mergeCell ref="C30:H30"/>
    <mergeCell ref="C32:H32"/>
    <mergeCell ref="C33:H33"/>
    <mergeCell ref="B81:C81"/>
    <mergeCell ref="B80:H80"/>
    <mergeCell ref="C78:D78"/>
    <mergeCell ref="D37:E37"/>
    <mergeCell ref="A72:B73"/>
    <mergeCell ref="D62:D65"/>
    <mergeCell ref="D66:D69"/>
    <mergeCell ref="D70:D73"/>
    <mergeCell ref="C62:C65"/>
    <mergeCell ref="C70:C73"/>
    <mergeCell ref="C66:C69"/>
    <mergeCell ref="A47:B48"/>
    <mergeCell ref="C132:D132"/>
    <mergeCell ref="B21:H21"/>
    <mergeCell ref="B82:C82"/>
    <mergeCell ref="C84:H84"/>
    <mergeCell ref="C87:H87"/>
    <mergeCell ref="D91:E91"/>
    <mergeCell ref="A101:B102"/>
    <mergeCell ref="C116:C119"/>
    <mergeCell ref="D116:D119"/>
    <mergeCell ref="C120:C123"/>
    <mergeCell ref="D120:D123"/>
    <mergeCell ref="C124:C127"/>
    <mergeCell ref="D124:D127"/>
    <mergeCell ref="A126:B127"/>
    <mergeCell ref="C86:H86"/>
    <mergeCell ref="B28:C28"/>
  </mergeCells>
  <conditionalFormatting sqref="D52">
    <cfRule type="cellIs" dxfId="3" priority="1" operator="greaterThan">
      <formula>0.02</formula>
    </cfRule>
  </conditionalFormatting>
  <conditionalFormatting sqref="H75">
    <cfRule type="cellIs" dxfId="2" priority="2" operator="greaterThan">
      <formula>0.02</formula>
    </cfRule>
  </conditionalFormatting>
  <conditionalFormatting sqref="D106">
    <cfRule type="cellIs" dxfId="1" priority="3" operator="greaterThan">
      <formula>0.02</formula>
    </cfRule>
  </conditionalFormatting>
  <conditionalFormatting sqref="H129">
    <cfRule type="cellIs" dxfId="0" priority="4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2" orientation="portrait" r:id="rId1"/>
  <headerFooter alignWithMargins="0">
    <oddHeader>&amp;LVer 2</oddHeader>
    <oddFooter>&amp;LNQCL/ADDO/014&amp;C&amp;P of &amp;N&amp;R&amp;D &amp;T</oddFooter>
  </headerFooter>
  <rowBreaks count="1" manualBreakCount="1">
    <brk id="79" max="8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tabSelected="1" topLeftCell="A22" zoomScaleNormal="100" workbookViewId="0">
      <selection activeCell="D39" sqref="D39"/>
    </sheetView>
  </sheetViews>
  <sheetFormatPr defaultRowHeight="15" x14ac:dyDescent="0.3"/>
  <cols>
    <col min="1" max="1" width="25.140625" style="179" customWidth="1"/>
    <col min="2" max="2" width="20.42578125" style="179" customWidth="1"/>
    <col min="3" max="3" width="23" style="179" customWidth="1"/>
    <col min="4" max="4" width="24.42578125" style="179" customWidth="1"/>
    <col min="5" max="5" width="6.7109375" style="179" customWidth="1"/>
    <col min="6" max="6" width="18.85546875" style="179" customWidth="1"/>
    <col min="7" max="7" width="20.140625" style="179" customWidth="1"/>
    <col min="8" max="8" width="9" style="179" customWidth="1"/>
    <col min="9" max="9" width="26.42578125" style="179" customWidth="1"/>
    <col min="10" max="10" width="18.85546875" style="179" customWidth="1"/>
    <col min="11" max="11" width="20.140625" style="179" customWidth="1"/>
    <col min="12" max="256" width="9" style="179" customWidth="1"/>
    <col min="257" max="257" width="21" style="179" customWidth="1"/>
    <col min="258" max="258" width="18.85546875" style="179" customWidth="1"/>
    <col min="259" max="259" width="20.140625" style="179" customWidth="1"/>
    <col min="260" max="512" width="9" style="179" customWidth="1"/>
    <col min="513" max="513" width="21" style="179" customWidth="1"/>
    <col min="514" max="514" width="18.85546875" style="179" customWidth="1"/>
    <col min="515" max="515" width="20.140625" style="179" customWidth="1"/>
    <col min="516" max="768" width="9" style="179" customWidth="1"/>
    <col min="769" max="769" width="21" style="179" customWidth="1"/>
    <col min="770" max="770" width="18.85546875" style="179" customWidth="1"/>
    <col min="771" max="771" width="20.140625" style="179" customWidth="1"/>
    <col min="772" max="1024" width="9" style="179" customWidth="1"/>
    <col min="1025" max="1025" width="21" style="179" customWidth="1"/>
    <col min="1026" max="1026" width="18.85546875" style="179" customWidth="1"/>
    <col min="1027" max="1027" width="20.140625" style="179" customWidth="1"/>
    <col min="1028" max="1280" width="9" style="179" customWidth="1"/>
    <col min="1281" max="1281" width="21" style="179" customWidth="1"/>
    <col min="1282" max="1282" width="18.85546875" style="179" customWidth="1"/>
    <col min="1283" max="1283" width="20.140625" style="179" customWidth="1"/>
    <col min="1284" max="1536" width="9" style="179" customWidth="1"/>
    <col min="1537" max="1537" width="21" style="179" customWidth="1"/>
    <col min="1538" max="1538" width="18.85546875" style="179" customWidth="1"/>
    <col min="1539" max="1539" width="20.140625" style="179" customWidth="1"/>
    <col min="1540" max="1792" width="9" style="179" customWidth="1"/>
    <col min="1793" max="1793" width="21" style="179" customWidth="1"/>
    <col min="1794" max="1794" width="18.85546875" style="179" customWidth="1"/>
    <col min="1795" max="1795" width="20.140625" style="179" customWidth="1"/>
    <col min="1796" max="2048" width="9" style="179" customWidth="1"/>
    <col min="2049" max="2049" width="21" style="179" customWidth="1"/>
    <col min="2050" max="2050" width="18.85546875" style="179" customWidth="1"/>
    <col min="2051" max="2051" width="20.140625" style="179" customWidth="1"/>
    <col min="2052" max="2304" width="9" style="179" customWidth="1"/>
    <col min="2305" max="2305" width="21" style="179" customWidth="1"/>
    <col min="2306" max="2306" width="18.85546875" style="179" customWidth="1"/>
    <col min="2307" max="2307" width="20.140625" style="179" customWidth="1"/>
    <col min="2308" max="2560" width="9" style="179" customWidth="1"/>
    <col min="2561" max="2561" width="21" style="179" customWidth="1"/>
    <col min="2562" max="2562" width="18.85546875" style="179" customWidth="1"/>
    <col min="2563" max="2563" width="20.140625" style="179" customWidth="1"/>
    <col min="2564" max="2816" width="9" style="179" customWidth="1"/>
    <col min="2817" max="2817" width="21" style="179" customWidth="1"/>
    <col min="2818" max="2818" width="18.85546875" style="179" customWidth="1"/>
    <col min="2819" max="2819" width="20.140625" style="179" customWidth="1"/>
    <col min="2820" max="3072" width="9" style="179" customWidth="1"/>
    <col min="3073" max="3073" width="21" style="179" customWidth="1"/>
    <col min="3074" max="3074" width="18.85546875" style="179" customWidth="1"/>
    <col min="3075" max="3075" width="20.140625" style="179" customWidth="1"/>
    <col min="3076" max="3328" width="9" style="179" customWidth="1"/>
    <col min="3329" max="3329" width="21" style="179" customWidth="1"/>
    <col min="3330" max="3330" width="18.85546875" style="179" customWidth="1"/>
    <col min="3331" max="3331" width="20.140625" style="179" customWidth="1"/>
    <col min="3332" max="3584" width="9" style="179" customWidth="1"/>
    <col min="3585" max="3585" width="21" style="179" customWidth="1"/>
    <col min="3586" max="3586" width="18.85546875" style="179" customWidth="1"/>
    <col min="3587" max="3587" width="20.140625" style="179" customWidth="1"/>
    <col min="3588" max="3840" width="9" style="179" customWidth="1"/>
    <col min="3841" max="3841" width="21" style="179" customWidth="1"/>
    <col min="3842" max="3842" width="18.85546875" style="179" customWidth="1"/>
    <col min="3843" max="3843" width="20.140625" style="179" customWidth="1"/>
    <col min="3844" max="4096" width="9" style="179" customWidth="1"/>
    <col min="4097" max="4097" width="21" style="179" customWidth="1"/>
    <col min="4098" max="4098" width="18.85546875" style="179" customWidth="1"/>
    <col min="4099" max="4099" width="20.140625" style="179" customWidth="1"/>
    <col min="4100" max="4352" width="9" style="179" customWidth="1"/>
    <col min="4353" max="4353" width="21" style="179" customWidth="1"/>
    <col min="4354" max="4354" width="18.85546875" style="179" customWidth="1"/>
    <col min="4355" max="4355" width="20.140625" style="179" customWidth="1"/>
    <col min="4356" max="4608" width="9" style="179" customWidth="1"/>
    <col min="4609" max="4609" width="21" style="179" customWidth="1"/>
    <col min="4610" max="4610" width="18.85546875" style="179" customWidth="1"/>
    <col min="4611" max="4611" width="20.140625" style="179" customWidth="1"/>
    <col min="4612" max="4864" width="9" style="179" customWidth="1"/>
    <col min="4865" max="4865" width="21" style="179" customWidth="1"/>
    <col min="4866" max="4866" width="18.85546875" style="179" customWidth="1"/>
    <col min="4867" max="4867" width="20.140625" style="179" customWidth="1"/>
    <col min="4868" max="5120" width="9" style="179" customWidth="1"/>
    <col min="5121" max="5121" width="21" style="179" customWidth="1"/>
    <col min="5122" max="5122" width="18.85546875" style="179" customWidth="1"/>
    <col min="5123" max="5123" width="20.140625" style="179" customWidth="1"/>
    <col min="5124" max="5376" width="9" style="179" customWidth="1"/>
    <col min="5377" max="5377" width="21" style="179" customWidth="1"/>
    <col min="5378" max="5378" width="18.85546875" style="179" customWidth="1"/>
    <col min="5379" max="5379" width="20.140625" style="179" customWidth="1"/>
    <col min="5380" max="5632" width="9" style="179" customWidth="1"/>
    <col min="5633" max="5633" width="21" style="179" customWidth="1"/>
    <col min="5634" max="5634" width="18.85546875" style="179" customWidth="1"/>
    <col min="5635" max="5635" width="20.140625" style="179" customWidth="1"/>
    <col min="5636" max="5888" width="9" style="179" customWidth="1"/>
    <col min="5889" max="5889" width="21" style="179" customWidth="1"/>
    <col min="5890" max="5890" width="18.85546875" style="179" customWidth="1"/>
    <col min="5891" max="5891" width="20.140625" style="179" customWidth="1"/>
    <col min="5892" max="6144" width="9" style="179" customWidth="1"/>
    <col min="6145" max="6145" width="21" style="179" customWidth="1"/>
    <col min="6146" max="6146" width="18.85546875" style="179" customWidth="1"/>
    <col min="6147" max="6147" width="20.140625" style="179" customWidth="1"/>
    <col min="6148" max="6400" width="9" style="179" customWidth="1"/>
    <col min="6401" max="6401" width="21" style="179" customWidth="1"/>
    <col min="6402" max="6402" width="18.85546875" style="179" customWidth="1"/>
    <col min="6403" max="6403" width="20.140625" style="179" customWidth="1"/>
    <col min="6404" max="6656" width="9" style="179" customWidth="1"/>
    <col min="6657" max="6657" width="21" style="179" customWidth="1"/>
    <col min="6658" max="6658" width="18.85546875" style="179" customWidth="1"/>
    <col min="6659" max="6659" width="20.140625" style="179" customWidth="1"/>
    <col min="6660" max="6912" width="9" style="179" customWidth="1"/>
    <col min="6913" max="6913" width="21" style="179" customWidth="1"/>
    <col min="6914" max="6914" width="18.85546875" style="179" customWidth="1"/>
    <col min="6915" max="6915" width="20.140625" style="179" customWidth="1"/>
    <col min="6916" max="7168" width="9" style="179" customWidth="1"/>
    <col min="7169" max="7169" width="21" style="179" customWidth="1"/>
    <col min="7170" max="7170" width="18.85546875" style="179" customWidth="1"/>
    <col min="7171" max="7171" width="20.140625" style="179" customWidth="1"/>
    <col min="7172" max="7424" width="9" style="179" customWidth="1"/>
    <col min="7425" max="7425" width="21" style="179" customWidth="1"/>
    <col min="7426" max="7426" width="18.85546875" style="179" customWidth="1"/>
    <col min="7427" max="7427" width="20.140625" style="179" customWidth="1"/>
    <col min="7428" max="7680" width="9" style="179" customWidth="1"/>
    <col min="7681" max="7681" width="21" style="179" customWidth="1"/>
    <col min="7682" max="7682" width="18.85546875" style="179" customWidth="1"/>
    <col min="7683" max="7683" width="20.140625" style="179" customWidth="1"/>
    <col min="7684" max="7936" width="9" style="179" customWidth="1"/>
    <col min="7937" max="7937" width="21" style="179" customWidth="1"/>
    <col min="7938" max="7938" width="18.85546875" style="179" customWidth="1"/>
    <col min="7939" max="7939" width="20.140625" style="179" customWidth="1"/>
    <col min="7940" max="8192" width="9" style="179" customWidth="1"/>
    <col min="8193" max="8193" width="21" style="179" customWidth="1"/>
    <col min="8194" max="8194" width="18.85546875" style="179" customWidth="1"/>
    <col min="8195" max="8195" width="20.140625" style="179" customWidth="1"/>
    <col min="8196" max="8448" width="9" style="179" customWidth="1"/>
    <col min="8449" max="8449" width="21" style="179" customWidth="1"/>
    <col min="8450" max="8450" width="18.85546875" style="179" customWidth="1"/>
    <col min="8451" max="8451" width="20.140625" style="179" customWidth="1"/>
    <col min="8452" max="8704" width="9" style="179" customWidth="1"/>
    <col min="8705" max="8705" width="21" style="179" customWidth="1"/>
    <col min="8706" max="8706" width="18.85546875" style="179" customWidth="1"/>
    <col min="8707" max="8707" width="20.140625" style="179" customWidth="1"/>
    <col min="8708" max="8960" width="9" style="179" customWidth="1"/>
    <col min="8961" max="8961" width="21" style="179" customWidth="1"/>
    <col min="8962" max="8962" width="18.85546875" style="179" customWidth="1"/>
    <col min="8963" max="8963" width="20.140625" style="179" customWidth="1"/>
    <col min="8964" max="9216" width="9" style="179" customWidth="1"/>
    <col min="9217" max="9217" width="21" style="179" customWidth="1"/>
    <col min="9218" max="9218" width="18.85546875" style="179" customWidth="1"/>
    <col min="9219" max="9219" width="20.140625" style="179" customWidth="1"/>
    <col min="9220" max="9472" width="9" style="179" customWidth="1"/>
    <col min="9473" max="9473" width="21" style="179" customWidth="1"/>
    <col min="9474" max="9474" width="18.85546875" style="179" customWidth="1"/>
    <col min="9475" max="9475" width="20.140625" style="179" customWidth="1"/>
    <col min="9476" max="9728" width="9" style="179" customWidth="1"/>
    <col min="9729" max="9729" width="21" style="179" customWidth="1"/>
    <col min="9730" max="9730" width="18.85546875" style="179" customWidth="1"/>
    <col min="9731" max="9731" width="20.140625" style="179" customWidth="1"/>
    <col min="9732" max="9984" width="9" style="179" customWidth="1"/>
    <col min="9985" max="9985" width="21" style="179" customWidth="1"/>
    <col min="9986" max="9986" width="18.85546875" style="179" customWidth="1"/>
    <col min="9987" max="9987" width="20.140625" style="179" customWidth="1"/>
    <col min="9988" max="10240" width="9" style="179" customWidth="1"/>
    <col min="10241" max="10241" width="21" style="179" customWidth="1"/>
    <col min="10242" max="10242" width="18.85546875" style="179" customWidth="1"/>
    <col min="10243" max="10243" width="20.140625" style="179" customWidth="1"/>
    <col min="10244" max="10496" width="9" style="179" customWidth="1"/>
    <col min="10497" max="10497" width="21" style="179" customWidth="1"/>
    <col min="10498" max="10498" width="18.85546875" style="179" customWidth="1"/>
    <col min="10499" max="10499" width="20.140625" style="179" customWidth="1"/>
    <col min="10500" max="10752" width="9" style="179" customWidth="1"/>
    <col min="10753" max="10753" width="21" style="179" customWidth="1"/>
    <col min="10754" max="10754" width="18.85546875" style="179" customWidth="1"/>
    <col min="10755" max="10755" width="20.140625" style="179" customWidth="1"/>
    <col min="10756" max="11008" width="9" style="179" customWidth="1"/>
    <col min="11009" max="11009" width="21" style="179" customWidth="1"/>
    <col min="11010" max="11010" width="18.85546875" style="179" customWidth="1"/>
    <col min="11011" max="11011" width="20.140625" style="179" customWidth="1"/>
    <col min="11012" max="11264" width="9" style="179" customWidth="1"/>
    <col min="11265" max="11265" width="21" style="179" customWidth="1"/>
    <col min="11266" max="11266" width="18.85546875" style="179" customWidth="1"/>
    <col min="11267" max="11267" width="20.140625" style="179" customWidth="1"/>
    <col min="11268" max="11520" width="9" style="179" customWidth="1"/>
    <col min="11521" max="11521" width="21" style="179" customWidth="1"/>
    <col min="11522" max="11522" width="18.85546875" style="179" customWidth="1"/>
    <col min="11523" max="11523" width="20.140625" style="179" customWidth="1"/>
    <col min="11524" max="11776" width="9" style="179" customWidth="1"/>
    <col min="11777" max="11777" width="21" style="179" customWidth="1"/>
    <col min="11778" max="11778" width="18.85546875" style="179" customWidth="1"/>
    <col min="11779" max="11779" width="20.140625" style="179" customWidth="1"/>
    <col min="11780" max="12032" width="9" style="179" customWidth="1"/>
    <col min="12033" max="12033" width="21" style="179" customWidth="1"/>
    <col min="12034" max="12034" width="18.85546875" style="179" customWidth="1"/>
    <col min="12035" max="12035" width="20.140625" style="179" customWidth="1"/>
    <col min="12036" max="12288" width="9" style="179" customWidth="1"/>
    <col min="12289" max="12289" width="21" style="179" customWidth="1"/>
    <col min="12290" max="12290" width="18.85546875" style="179" customWidth="1"/>
    <col min="12291" max="12291" width="20.140625" style="179" customWidth="1"/>
    <col min="12292" max="12544" width="9" style="179" customWidth="1"/>
    <col min="12545" max="12545" width="21" style="179" customWidth="1"/>
    <col min="12546" max="12546" width="18.85546875" style="179" customWidth="1"/>
    <col min="12547" max="12547" width="20.140625" style="179" customWidth="1"/>
    <col min="12548" max="12800" width="9" style="179" customWidth="1"/>
    <col min="12801" max="12801" width="21" style="179" customWidth="1"/>
    <col min="12802" max="12802" width="18.85546875" style="179" customWidth="1"/>
    <col min="12803" max="12803" width="20.140625" style="179" customWidth="1"/>
    <col min="12804" max="13056" width="9" style="179" customWidth="1"/>
    <col min="13057" max="13057" width="21" style="179" customWidth="1"/>
    <col min="13058" max="13058" width="18.85546875" style="179" customWidth="1"/>
    <col min="13059" max="13059" width="20.140625" style="179" customWidth="1"/>
    <col min="13060" max="13312" width="9" style="179" customWidth="1"/>
    <col min="13313" max="13313" width="21" style="179" customWidth="1"/>
    <col min="13314" max="13314" width="18.85546875" style="179" customWidth="1"/>
    <col min="13315" max="13315" width="20.140625" style="179" customWidth="1"/>
    <col min="13316" max="13568" width="9" style="179" customWidth="1"/>
    <col min="13569" max="13569" width="21" style="179" customWidth="1"/>
    <col min="13570" max="13570" width="18.85546875" style="179" customWidth="1"/>
    <col min="13571" max="13571" width="20.140625" style="179" customWidth="1"/>
    <col min="13572" max="13824" width="9" style="179" customWidth="1"/>
    <col min="13825" max="13825" width="21" style="179" customWidth="1"/>
    <col min="13826" max="13826" width="18.85546875" style="179" customWidth="1"/>
    <col min="13827" max="13827" width="20.140625" style="179" customWidth="1"/>
    <col min="13828" max="14080" width="9" style="179" customWidth="1"/>
    <col min="14081" max="14081" width="21" style="179" customWidth="1"/>
    <col min="14082" max="14082" width="18.85546875" style="179" customWidth="1"/>
    <col min="14083" max="14083" width="20.140625" style="179" customWidth="1"/>
    <col min="14084" max="14336" width="9" style="179" customWidth="1"/>
    <col min="14337" max="14337" width="21" style="179" customWidth="1"/>
    <col min="14338" max="14338" width="18.85546875" style="179" customWidth="1"/>
    <col min="14339" max="14339" width="20.140625" style="179" customWidth="1"/>
    <col min="14340" max="14592" width="9" style="179" customWidth="1"/>
    <col min="14593" max="14593" width="21" style="179" customWidth="1"/>
    <col min="14594" max="14594" width="18.85546875" style="179" customWidth="1"/>
    <col min="14595" max="14595" width="20.140625" style="179" customWidth="1"/>
    <col min="14596" max="14848" width="9" style="179" customWidth="1"/>
    <col min="14849" max="14849" width="21" style="179" customWidth="1"/>
    <col min="14850" max="14850" width="18.85546875" style="179" customWidth="1"/>
    <col min="14851" max="14851" width="20.140625" style="179" customWidth="1"/>
    <col min="14852" max="15104" width="9" style="179" customWidth="1"/>
    <col min="15105" max="15105" width="21" style="179" customWidth="1"/>
    <col min="15106" max="15106" width="18.85546875" style="179" customWidth="1"/>
    <col min="15107" max="15107" width="20.140625" style="179" customWidth="1"/>
    <col min="15108" max="15360" width="9" style="179" customWidth="1"/>
    <col min="15361" max="15361" width="21" style="179" customWidth="1"/>
    <col min="15362" max="15362" width="18.85546875" style="179" customWidth="1"/>
    <col min="15363" max="15363" width="20.140625" style="179" customWidth="1"/>
    <col min="15364" max="15616" width="9" style="179" customWidth="1"/>
    <col min="15617" max="15617" width="21" style="179" customWidth="1"/>
    <col min="15618" max="15618" width="18.85546875" style="179" customWidth="1"/>
    <col min="15619" max="15619" width="20.140625" style="179" customWidth="1"/>
    <col min="15620" max="15872" width="9" style="179" customWidth="1"/>
    <col min="15873" max="15873" width="21" style="179" customWidth="1"/>
    <col min="15874" max="15874" width="18.85546875" style="179" customWidth="1"/>
    <col min="15875" max="15875" width="20.140625" style="179" customWidth="1"/>
    <col min="15876" max="16128" width="9" style="179" customWidth="1"/>
    <col min="16129" max="16129" width="21" style="179" customWidth="1"/>
    <col min="16130" max="16130" width="18.85546875" style="179" customWidth="1"/>
    <col min="16131" max="16131" width="20.140625" style="179" customWidth="1"/>
    <col min="16132" max="16132" width="9" style="179" customWidth="1"/>
    <col min="16133" max="16384" width="9.140625" style="188"/>
  </cols>
  <sheetData>
    <row r="1" spans="1:7" ht="12.75" customHeight="1" x14ac:dyDescent="0.3">
      <c r="A1" s="265" t="s">
        <v>30</v>
      </c>
      <c r="B1" s="265"/>
      <c r="C1" s="265"/>
      <c r="D1" s="265"/>
      <c r="E1" s="265"/>
      <c r="F1" s="265"/>
      <c r="G1" s="178"/>
    </row>
    <row r="2" spans="1:7" ht="12.75" customHeight="1" x14ac:dyDescent="0.3">
      <c r="A2" s="265"/>
      <c r="B2" s="265"/>
      <c r="C2" s="265"/>
      <c r="D2" s="265"/>
      <c r="E2" s="265"/>
      <c r="F2" s="265"/>
      <c r="G2" s="178"/>
    </row>
    <row r="3" spans="1:7" ht="12.75" customHeight="1" x14ac:dyDescent="0.3">
      <c r="A3" s="265"/>
      <c r="B3" s="265"/>
      <c r="C3" s="265"/>
      <c r="D3" s="265"/>
      <c r="E3" s="265"/>
      <c r="F3" s="265"/>
      <c r="G3" s="178"/>
    </row>
    <row r="4" spans="1:7" ht="12.75" customHeight="1" x14ac:dyDescent="0.3">
      <c r="A4" s="265"/>
      <c r="B4" s="265"/>
      <c r="C4" s="265"/>
      <c r="D4" s="265"/>
      <c r="E4" s="265"/>
      <c r="F4" s="265"/>
      <c r="G4" s="178"/>
    </row>
    <row r="5" spans="1:7" ht="12.75" customHeight="1" x14ac:dyDescent="0.3">
      <c r="A5" s="265"/>
      <c r="B5" s="265"/>
      <c r="C5" s="265"/>
      <c r="D5" s="265"/>
      <c r="E5" s="265"/>
      <c r="F5" s="265"/>
      <c r="G5" s="178"/>
    </row>
    <row r="6" spans="1:7" ht="12.75" customHeight="1" x14ac:dyDescent="0.3">
      <c r="A6" s="265"/>
      <c r="B6" s="265"/>
      <c r="C6" s="265"/>
      <c r="D6" s="265"/>
      <c r="E6" s="265"/>
      <c r="F6" s="265"/>
      <c r="G6" s="178"/>
    </row>
    <row r="7" spans="1:7" ht="12.75" customHeight="1" x14ac:dyDescent="0.3">
      <c r="A7" s="265"/>
      <c r="B7" s="265"/>
      <c r="C7" s="265"/>
      <c r="D7" s="265"/>
      <c r="E7" s="265"/>
      <c r="F7" s="265"/>
      <c r="G7" s="178"/>
    </row>
    <row r="8" spans="1:7" ht="15" customHeight="1" x14ac:dyDescent="0.3">
      <c r="A8" s="266" t="s">
        <v>31</v>
      </c>
      <c r="B8" s="266"/>
      <c r="C8" s="266"/>
      <c r="D8" s="266"/>
      <c r="E8" s="266"/>
      <c r="F8" s="266"/>
      <c r="G8" s="180"/>
    </row>
    <row r="9" spans="1:7" ht="12.75" customHeight="1" x14ac:dyDescent="0.3">
      <c r="A9" s="266"/>
      <c r="B9" s="266"/>
      <c r="C9" s="266"/>
      <c r="D9" s="266"/>
      <c r="E9" s="266"/>
      <c r="F9" s="266"/>
      <c r="G9" s="180"/>
    </row>
    <row r="10" spans="1:7" ht="12.75" customHeight="1" x14ac:dyDescent="0.3">
      <c r="A10" s="266"/>
      <c r="B10" s="266"/>
      <c r="C10" s="266"/>
      <c r="D10" s="266"/>
      <c r="E10" s="266"/>
      <c r="F10" s="266"/>
      <c r="G10" s="180"/>
    </row>
    <row r="11" spans="1:7" ht="12.75" customHeight="1" x14ac:dyDescent="0.3">
      <c r="A11" s="266"/>
      <c r="B11" s="266"/>
      <c r="C11" s="266"/>
      <c r="D11" s="266"/>
      <c r="E11" s="266"/>
      <c r="F11" s="266"/>
      <c r="G11" s="180"/>
    </row>
    <row r="12" spans="1:7" ht="12.75" customHeight="1" x14ac:dyDescent="0.3">
      <c r="A12" s="266"/>
      <c r="B12" s="266"/>
      <c r="C12" s="266"/>
      <c r="D12" s="266"/>
      <c r="E12" s="266"/>
      <c r="F12" s="266"/>
      <c r="G12" s="180"/>
    </row>
    <row r="13" spans="1:7" ht="12.75" customHeight="1" x14ac:dyDescent="0.3">
      <c r="A13" s="266"/>
      <c r="B13" s="266"/>
      <c r="C13" s="266"/>
      <c r="D13" s="266"/>
      <c r="E13" s="266"/>
      <c r="F13" s="266"/>
      <c r="G13" s="180"/>
    </row>
    <row r="14" spans="1:7" ht="12.75" customHeight="1" x14ac:dyDescent="0.3">
      <c r="A14" s="266"/>
      <c r="B14" s="266"/>
      <c r="C14" s="266"/>
      <c r="D14" s="266"/>
      <c r="E14" s="266"/>
      <c r="F14" s="266"/>
      <c r="G14" s="180"/>
    </row>
    <row r="15" spans="1:7" ht="13.5" customHeight="1" thickBot="1" x14ac:dyDescent="0.35"/>
    <row r="16" spans="1:7" ht="19.5" customHeight="1" thickBot="1" x14ac:dyDescent="0.35">
      <c r="A16" s="267" t="s">
        <v>32</v>
      </c>
      <c r="B16" s="268"/>
      <c r="C16" s="268"/>
      <c r="D16" s="268"/>
      <c r="E16" s="268"/>
      <c r="F16" s="269"/>
    </row>
    <row r="17" spans="1:13" ht="18.75" customHeight="1" x14ac:dyDescent="0.3">
      <c r="A17" s="270" t="s">
        <v>111</v>
      </c>
      <c r="B17" s="270"/>
      <c r="C17" s="270"/>
      <c r="D17" s="270"/>
      <c r="E17" s="270"/>
      <c r="F17" s="270"/>
    </row>
    <row r="20" spans="1:13" ht="16.5" customHeight="1" x14ac:dyDescent="0.3">
      <c r="A20" s="181" t="s">
        <v>34</v>
      </c>
      <c r="B20" s="182" t="str">
        <f>'Cefuroxime Axetil'!B18:C18</f>
        <v>Aivcef Suspension</v>
      </c>
    </row>
    <row r="21" spans="1:13" ht="16.5" customHeight="1" x14ac:dyDescent="0.3">
      <c r="A21" s="181" t="s">
        <v>35</v>
      </c>
      <c r="B21" s="182" t="str">
        <f>'Cefuroxime Axetil'!B19</f>
        <v>NDQD201512608</v>
      </c>
    </row>
    <row r="22" spans="1:13" ht="16.5" customHeight="1" x14ac:dyDescent="0.3">
      <c r="A22" s="181" t="s">
        <v>36</v>
      </c>
      <c r="B22" s="182" t="str">
        <f>'[1]Cefuroxime Axetil'!B20</f>
        <v xml:space="preserve">Cefuroxime Axetil </v>
      </c>
    </row>
    <row r="23" spans="1:13" ht="16.5" customHeight="1" x14ac:dyDescent="0.3">
      <c r="A23" s="181" t="s">
        <v>37</v>
      </c>
      <c r="B23" s="182" t="str">
        <f>'[1]Cefuroxime Axetil'!B21:H21</f>
        <v>After reconstitution, each 5ml suspension contains: Cefuroxime Axetil USP Eq. to Cefuroxime 125mg</v>
      </c>
    </row>
    <row r="24" spans="1:13" ht="16.5" customHeight="1" x14ac:dyDescent="0.3">
      <c r="A24" s="181" t="s">
        <v>38</v>
      </c>
      <c r="B24" s="183" t="str">
        <f>'[1]Cefuroxime Axetil'!B22</f>
        <v>19th Jan 2016</v>
      </c>
    </row>
    <row r="25" spans="1:13" ht="16.5" customHeight="1" x14ac:dyDescent="0.3">
      <c r="A25" s="181" t="s">
        <v>39</v>
      </c>
      <c r="B25" s="183" t="str">
        <f>'[1]Cefuroxime Axetil'!B23</f>
        <v>9th Feb 2016</v>
      </c>
    </row>
    <row r="27" spans="1:13" ht="13.5" customHeight="1" thickBot="1" x14ac:dyDescent="0.35"/>
    <row r="28" spans="1:13" ht="17.25" customHeight="1" thickBot="1" x14ac:dyDescent="0.35">
      <c r="B28" s="184"/>
      <c r="C28" s="185" t="s">
        <v>110</v>
      </c>
      <c r="D28" s="185" t="s">
        <v>109</v>
      </c>
      <c r="E28" s="186"/>
      <c r="F28" s="186"/>
      <c r="G28" s="186"/>
      <c r="H28" s="187"/>
      <c r="I28" s="186"/>
      <c r="J28" s="186"/>
      <c r="K28" s="186"/>
      <c r="L28" s="188"/>
      <c r="M28" s="188"/>
    </row>
    <row r="29" spans="1:13" ht="16.5" customHeight="1" thickBot="1" x14ac:dyDescent="0.35">
      <c r="B29" s="189">
        <v>21.735700000000001</v>
      </c>
      <c r="C29" s="190">
        <v>46.819200000000002</v>
      </c>
      <c r="D29" s="190">
        <v>51.196599999999997</v>
      </c>
      <c r="E29" s="191"/>
      <c r="F29" s="191"/>
      <c r="G29" s="191"/>
      <c r="H29" s="187"/>
      <c r="I29" s="191"/>
      <c r="J29" s="191"/>
      <c r="K29" s="191"/>
      <c r="L29" s="188"/>
      <c r="M29" s="188"/>
    </row>
    <row r="30" spans="1:13" ht="15.75" customHeight="1" x14ac:dyDescent="0.3">
      <c r="B30" s="192"/>
      <c r="C30" s="190">
        <v>46.813200000000002</v>
      </c>
      <c r="D30" s="190">
        <v>51.183500000000002</v>
      </c>
      <c r="E30" s="191"/>
      <c r="F30" s="191"/>
      <c r="G30" s="191"/>
      <c r="H30" s="187"/>
      <c r="I30" s="191"/>
      <c r="J30" s="191"/>
      <c r="K30" s="191"/>
      <c r="L30" s="188"/>
      <c r="M30" s="188"/>
    </row>
    <row r="31" spans="1:13" ht="16.5" customHeight="1" thickBot="1" x14ac:dyDescent="0.35">
      <c r="B31" s="192"/>
      <c r="C31" s="193">
        <v>46.778199999999998</v>
      </c>
      <c r="D31" s="193">
        <v>51.259300000000003</v>
      </c>
      <c r="E31" s="191"/>
      <c r="F31" s="191"/>
      <c r="G31" s="191"/>
      <c r="H31" s="187"/>
      <c r="I31" s="191"/>
      <c r="J31" s="191"/>
      <c r="K31" s="191"/>
      <c r="L31" s="188"/>
      <c r="M31" s="188"/>
    </row>
    <row r="32" spans="1:13" ht="16.5" customHeight="1" thickBot="1" x14ac:dyDescent="0.35">
      <c r="B32" s="192"/>
      <c r="C32" s="194"/>
      <c r="D32" s="195"/>
      <c r="E32" s="191"/>
      <c r="F32" s="191"/>
      <c r="G32" s="191"/>
      <c r="H32" s="187"/>
      <c r="I32" s="191"/>
      <c r="J32" s="191"/>
      <c r="K32" s="191"/>
      <c r="L32" s="188"/>
      <c r="M32" s="188"/>
    </row>
    <row r="33" spans="1:13" ht="17.25" customHeight="1" thickBot="1" x14ac:dyDescent="0.35">
      <c r="B33" s="196">
        <f>AVERAGE(B29:B32)</f>
        <v>21.735700000000001</v>
      </c>
      <c r="C33" s="196">
        <f>AVERAGE(C29:C32)</f>
        <v>46.803533333333327</v>
      </c>
      <c r="D33" s="196">
        <f>AVERAGE(D29:D32)</f>
        <v>51.213133333333332</v>
      </c>
      <c r="E33" s="197"/>
      <c r="F33" s="197"/>
      <c r="G33" s="197"/>
      <c r="H33" s="187"/>
      <c r="I33" s="197"/>
      <c r="J33" s="197"/>
      <c r="K33" s="197"/>
      <c r="L33" s="188"/>
      <c r="M33" s="188"/>
    </row>
    <row r="34" spans="1:13" ht="16.5" customHeight="1" thickBot="1" x14ac:dyDescent="0.35">
      <c r="B34" s="198"/>
      <c r="C34" s="198"/>
      <c r="D34" s="198"/>
      <c r="E34" s="187"/>
      <c r="F34" s="187"/>
      <c r="G34" s="187"/>
      <c r="H34" s="187"/>
      <c r="I34" s="187"/>
      <c r="J34" s="187"/>
      <c r="K34" s="187"/>
      <c r="L34" s="188"/>
      <c r="M34" s="188"/>
    </row>
    <row r="35" spans="1:13" ht="16.5" customHeight="1" thickBot="1" x14ac:dyDescent="0.35">
      <c r="B35" s="199" t="s">
        <v>108</v>
      </c>
      <c r="C35" s="200">
        <f>C33-B33</f>
        <v>25.067833333333326</v>
      </c>
      <c r="D35" s="198"/>
      <c r="E35" s="187"/>
      <c r="F35" s="201"/>
      <c r="G35" s="187"/>
      <c r="H35" s="187"/>
      <c r="I35" s="187"/>
      <c r="J35" s="201"/>
      <c r="K35" s="187"/>
      <c r="L35" s="188"/>
      <c r="M35" s="188"/>
    </row>
    <row r="36" spans="1:13" ht="16.5" customHeight="1" thickBot="1" x14ac:dyDescent="0.35">
      <c r="B36" s="198"/>
      <c r="C36" s="202"/>
      <c r="D36" s="198"/>
      <c r="E36" s="187"/>
      <c r="F36" s="201"/>
      <c r="G36" s="187"/>
      <c r="H36" s="187"/>
      <c r="I36" s="187"/>
      <c r="J36" s="201"/>
      <c r="K36" s="187"/>
      <c r="L36" s="188"/>
      <c r="M36" s="188"/>
    </row>
    <row r="37" spans="1:13" ht="16.5" customHeight="1" thickBot="1" x14ac:dyDescent="0.35">
      <c r="B37" s="199" t="s">
        <v>107</v>
      </c>
      <c r="C37" s="200">
        <f>D33-B33</f>
        <v>29.47743333333333</v>
      </c>
      <c r="D37" s="198"/>
      <c r="E37" s="187"/>
      <c r="F37" s="201"/>
      <c r="G37" s="187"/>
      <c r="H37" s="187"/>
      <c r="I37" s="187"/>
      <c r="J37" s="201"/>
      <c r="K37" s="187"/>
      <c r="L37" s="188"/>
      <c r="M37" s="188"/>
    </row>
    <row r="38" spans="1:13" ht="16.5" customHeight="1" thickBot="1" x14ac:dyDescent="0.35">
      <c r="B38" s="198"/>
      <c r="C38" s="202"/>
      <c r="D38" s="198"/>
      <c r="E38" s="187"/>
      <c r="F38" s="201"/>
      <c r="G38" s="187"/>
      <c r="H38" s="187"/>
      <c r="I38" s="187"/>
      <c r="J38" s="201"/>
      <c r="K38" s="187"/>
      <c r="L38" s="188"/>
      <c r="M38" s="188"/>
    </row>
    <row r="39" spans="1:13" ht="32.25" customHeight="1" thickBot="1" x14ac:dyDescent="0.35">
      <c r="B39" s="203" t="s">
        <v>106</v>
      </c>
      <c r="C39" s="204">
        <f>C37/C35</f>
        <v>1.1759067064697788</v>
      </c>
      <c r="D39" s="198"/>
      <c r="E39" s="205"/>
      <c r="F39" s="206"/>
      <c r="G39" s="187"/>
      <c r="H39" s="187"/>
      <c r="I39" s="205"/>
      <c r="J39" s="206"/>
      <c r="K39" s="187"/>
      <c r="L39" s="188"/>
      <c r="M39" s="188"/>
    </row>
    <row r="40" spans="1:13" ht="14.25" customHeight="1" thickBot="1" x14ac:dyDescent="0.35">
      <c r="A40" s="207"/>
      <c r="B40" s="208"/>
      <c r="C40" s="209"/>
      <c r="D40" s="210"/>
      <c r="E40" s="209"/>
      <c r="G40" s="187"/>
      <c r="H40" s="187"/>
      <c r="I40" s="211"/>
      <c r="J40" s="188"/>
    </row>
    <row r="41" spans="1:13" ht="16.5" customHeight="1" x14ac:dyDescent="0.3">
      <c r="A41" s="212"/>
      <c r="B41" s="213" t="s">
        <v>25</v>
      </c>
      <c r="C41" s="213"/>
      <c r="D41" s="214" t="s">
        <v>26</v>
      </c>
      <c r="E41" s="215"/>
      <c r="F41" s="214" t="s">
        <v>27</v>
      </c>
      <c r="G41" s="187"/>
      <c r="H41" s="187"/>
      <c r="I41" s="211"/>
      <c r="J41" s="188"/>
    </row>
    <row r="42" spans="1:13" ht="59.25" customHeight="1" x14ac:dyDescent="0.3">
      <c r="A42" s="181" t="s">
        <v>28</v>
      </c>
      <c r="B42" s="216" t="s">
        <v>118</v>
      </c>
      <c r="C42" s="212"/>
      <c r="D42" s="216"/>
      <c r="E42" s="212"/>
      <c r="F42" s="216"/>
      <c r="G42" s="187"/>
      <c r="H42" s="187"/>
      <c r="I42" s="211"/>
      <c r="J42" s="188"/>
    </row>
    <row r="43" spans="1:13" ht="59.25" customHeight="1" x14ac:dyDescent="0.3">
      <c r="A43" s="181" t="s">
        <v>29</v>
      </c>
      <c r="B43" s="217"/>
      <c r="C43" s="218"/>
      <c r="D43" s="217"/>
      <c r="E43" s="212"/>
      <c r="F43" s="219"/>
      <c r="G43" s="187"/>
      <c r="H43" s="187"/>
      <c r="I43" s="211"/>
    </row>
    <row r="44" spans="1:13" ht="13.5" customHeight="1" x14ac:dyDescent="0.3">
      <c r="A44" s="187"/>
      <c r="B44" s="187"/>
      <c r="C44" s="187"/>
      <c r="D44" s="211"/>
      <c r="F44" s="187"/>
      <c r="G44" s="187"/>
      <c r="H44" s="187"/>
      <c r="I44" s="211"/>
    </row>
    <row r="45" spans="1:13" ht="13.5" customHeight="1" x14ac:dyDescent="0.3">
      <c r="A45" s="187"/>
      <c r="B45" s="187"/>
      <c r="C45" s="187"/>
      <c r="D45" s="211"/>
      <c r="F45" s="187"/>
      <c r="G45" s="187"/>
      <c r="H45" s="187"/>
      <c r="I45" s="211"/>
    </row>
    <row r="47" spans="1:13" ht="13.5" customHeight="1" x14ac:dyDescent="0.3">
      <c r="A47" s="220"/>
      <c r="B47" s="220"/>
      <c r="C47" s="220"/>
      <c r="F47" s="220"/>
      <c r="G47" s="220"/>
      <c r="H47" s="220"/>
    </row>
    <row r="48" spans="1:13" ht="13.5" customHeight="1" x14ac:dyDescent="0.3">
      <c r="A48" s="221"/>
      <c r="B48" s="221"/>
      <c r="C48" s="221"/>
      <c r="F48" s="221"/>
      <c r="G48" s="221"/>
      <c r="H48" s="221"/>
    </row>
    <row r="49" spans="1:8" x14ac:dyDescent="0.3">
      <c r="B49" s="222"/>
      <c r="C49" s="222"/>
      <c r="G49" s="222"/>
      <c r="H49" s="222"/>
    </row>
    <row r="50" spans="1:8" x14ac:dyDescent="0.3">
      <c r="A50" s="223"/>
      <c r="F50" s="223"/>
    </row>
    <row r="51" spans="1:8" x14ac:dyDescent="0.3">
      <c r="C51" s="224"/>
    </row>
    <row r="52" spans="1:8" x14ac:dyDescent="0.3">
      <c r="C52" s="224"/>
    </row>
    <row r="57" spans="1:8" ht="13.5" customHeight="1" x14ac:dyDescent="0.3">
      <c r="C57" s="187"/>
    </row>
    <row r="250" spans="1:1" x14ac:dyDescent="0.3">
      <c r="A250" s="179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4">
    <mergeCell ref="A1:F7"/>
    <mergeCell ref="A8:F14"/>
    <mergeCell ref="A16:F16"/>
    <mergeCell ref="A17:F17"/>
  </mergeCells>
  <pageMargins left="0.75" right="0.75" top="1" bottom="1" header="0.5" footer="0.5"/>
  <pageSetup paperSize="9" scale="55" orientation="portrait" r:id="rId1"/>
  <headerFooter alignWithMargins="0">
    <oddHeader>&amp;LVer 1</oddHeader>
    <oddFooter>&amp;LNQCL/ADDO/014&amp;CPage &amp;P of &amp;N&amp;R&amp;D &amp;T</oddFooter>
  </headerFooter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Cefuroxime Axetil</vt:lpstr>
      <vt:lpstr>Relative Density</vt:lpstr>
      <vt:lpstr>'Cefuroxime Axetil'!Print_Area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hp3500</cp:lastModifiedBy>
  <cp:lastPrinted>2016-02-09T12:30:48Z</cp:lastPrinted>
  <dcterms:created xsi:type="dcterms:W3CDTF">2005-07-05T10:19:27Z</dcterms:created>
  <dcterms:modified xsi:type="dcterms:W3CDTF">2016-04-05T06:32:21Z</dcterms:modified>
</cp:coreProperties>
</file>