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/>
  </bookViews>
  <sheets>
    <sheet name="SST" sheetId="1" r:id="rId1"/>
    <sheet name="Uniformity" sheetId="2" r:id="rId2"/>
    <sheet name="Cefpodoxime" sheetId="3" r:id="rId3"/>
  </sheets>
  <definedNames>
    <definedName name="_xlnm.Print_Area" localSheetId="2">Cefpodoxime!$A$1:$I$126</definedName>
    <definedName name="_xlnm.Print_Area" localSheetId="1">Uniformity!$A$1:$I$44</definedName>
  </definedNames>
  <calcPr calcId="145621"/>
</workbook>
</file>

<file path=xl/calcChain.xml><?xml version="1.0" encoding="utf-8"?>
<calcChain xmlns="http://schemas.openxmlformats.org/spreadsheetml/2006/main">
  <c r="G76" i="3" l="1"/>
  <c r="F70" i="3"/>
  <c r="F69" i="3"/>
  <c r="F68" i="3"/>
  <c r="F66" i="3"/>
  <c r="F65" i="3"/>
  <c r="F64" i="3"/>
  <c r="F62" i="3"/>
  <c r="F61" i="3"/>
  <c r="F60" i="3"/>
  <c r="B87" i="3"/>
  <c r="G38" i="3"/>
  <c r="F40" i="3"/>
  <c r="F39" i="3"/>
  <c r="F38" i="3"/>
  <c r="D40" i="3"/>
  <c r="D39" i="3"/>
  <c r="D38" i="3"/>
  <c r="C120" i="3" l="1"/>
  <c r="B116" i="3"/>
  <c r="D100" i="3" s="1"/>
  <c r="B98" i="3"/>
  <c r="F95" i="3"/>
  <c r="D95" i="3"/>
  <c r="I92" i="3" s="1"/>
  <c r="F97" i="3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F45" i="3" s="1"/>
  <c r="B30" i="3"/>
  <c r="C36" i="2"/>
  <c r="D40" i="2" s="1"/>
  <c r="C35" i="2"/>
  <c r="D29" i="2"/>
  <c r="D27" i="2"/>
  <c r="D21" i="2"/>
  <c r="D19" i="2"/>
  <c r="C9" i="2"/>
  <c r="B39" i="1"/>
  <c r="E37" i="1"/>
  <c r="D37" i="1"/>
  <c r="C37" i="1"/>
  <c r="B37" i="1"/>
  <c r="B38" i="1" s="1"/>
  <c r="B18" i="1"/>
  <c r="E16" i="1"/>
  <c r="D16" i="1"/>
  <c r="C16" i="1"/>
  <c r="B16" i="1"/>
  <c r="B17" i="1" s="1"/>
  <c r="D101" i="3" l="1"/>
  <c r="I39" i="3"/>
  <c r="D49" i="3"/>
  <c r="D44" i="3"/>
  <c r="D45" i="3" s="1"/>
  <c r="D15" i="2"/>
  <c r="D23" i="2"/>
  <c r="D31" i="2"/>
  <c r="C39" i="2"/>
  <c r="D17" i="2"/>
  <c r="D25" i="2"/>
  <c r="D33" i="2"/>
  <c r="D102" i="3"/>
  <c r="F98" i="3"/>
  <c r="F99" i="3" s="1"/>
  <c r="G41" i="3"/>
  <c r="F46" i="3"/>
  <c r="G40" i="3"/>
  <c r="D14" i="2"/>
  <c r="D18" i="2"/>
  <c r="D22" i="2"/>
  <c r="D26" i="2"/>
  <c r="D30" i="2"/>
  <c r="D39" i="2"/>
  <c r="G39" i="3"/>
  <c r="B57" i="3"/>
  <c r="B69" i="3" s="1"/>
  <c r="C40" i="2"/>
  <c r="D97" i="3"/>
  <c r="D98" i="3" s="1"/>
  <c r="D99" i="3" s="1"/>
  <c r="D16" i="2"/>
  <c r="D20" i="2"/>
  <c r="D24" i="2"/>
  <c r="D28" i="2"/>
  <c r="D32" i="2"/>
  <c r="B39" i="2"/>
  <c r="G42" i="3" l="1"/>
  <c r="E38" i="3"/>
  <c r="E39" i="3"/>
  <c r="E40" i="3"/>
  <c r="E41" i="3"/>
  <c r="D46" i="3"/>
  <c r="E94" i="3"/>
  <c r="E93" i="3"/>
  <c r="E91" i="3"/>
  <c r="E92" i="3"/>
  <c r="G94" i="3"/>
  <c r="G93" i="3"/>
  <c r="G92" i="3"/>
  <c r="G91" i="3"/>
  <c r="G95" i="3" s="1"/>
  <c r="D52" i="3" l="1"/>
  <c r="D50" i="3"/>
  <c r="G66" i="3" s="1"/>
  <c r="H66" i="3" s="1"/>
  <c r="E42" i="3"/>
  <c r="E95" i="3"/>
  <c r="D105" i="3"/>
  <c r="D103" i="3"/>
  <c r="G69" i="3" l="1"/>
  <c r="H69" i="3" s="1"/>
  <c r="G65" i="3"/>
  <c r="H65" i="3" s="1"/>
  <c r="D51" i="3"/>
  <c r="G67" i="3"/>
  <c r="H67" i="3" s="1"/>
  <c r="G63" i="3"/>
  <c r="H63" i="3" s="1"/>
  <c r="G60" i="3"/>
  <c r="H60" i="3" s="1"/>
  <c r="G62" i="3"/>
  <c r="H62" i="3" s="1"/>
  <c r="G71" i="3"/>
  <c r="H71" i="3" s="1"/>
  <c r="G61" i="3"/>
  <c r="H61" i="3" s="1"/>
  <c r="G70" i="3"/>
  <c r="H70" i="3" s="1"/>
  <c r="G64" i="3"/>
  <c r="H64" i="3" s="1"/>
  <c r="G68" i="3"/>
  <c r="H68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3" l="1"/>
  <c r="G73" i="3" s="1"/>
  <c r="G74" i="3"/>
  <c r="H74" i="3"/>
  <c r="H72" i="3"/>
  <c r="E115" i="3"/>
  <c r="E116" i="3" s="1"/>
  <c r="E117" i="3"/>
  <c r="F108" i="3"/>
  <c r="H73" i="3" l="1"/>
  <c r="F117" i="3"/>
  <c r="F115" i="3"/>
  <c r="G120" i="3" l="1"/>
  <c r="F116" i="3"/>
</calcChain>
</file>

<file path=xl/sharedStrings.xml><?xml version="1.0" encoding="utf-8"?>
<sst xmlns="http://schemas.openxmlformats.org/spreadsheetml/2006/main" count="235" uniqueCount="127">
  <si>
    <t>HPLC System Suitability Report</t>
  </si>
  <si>
    <t>Analysis Data</t>
  </si>
  <si>
    <t>Assay</t>
  </si>
  <si>
    <t>Sample(s)</t>
  </si>
  <si>
    <t>Reference Substance:</t>
  </si>
  <si>
    <t>Aivpod-100 tablets</t>
  </si>
  <si>
    <t>% age Purity:</t>
  </si>
  <si>
    <t>NDQD201512616</t>
  </si>
  <si>
    <t>Weight (mg):</t>
  </si>
  <si>
    <t>Cefpodoxime Proxetil</t>
  </si>
  <si>
    <t>Standard Conc (mg/mL):</t>
  </si>
  <si>
    <t>Each uncoated dispersible tablet contains: Cefpodoxime Proxetil USP eq. to Cefpodoxime 100mg</t>
  </si>
  <si>
    <t>2015-12-09 08:16:45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</si>
  <si>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</si>
  <si>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</si>
  <si>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</si>
  <si>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</si>
  <si>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</si>
  <si>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</si>
  <si>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</si>
  <si>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</si>
  <si>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</si>
  <si>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</si>
  <si>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</si>
  <si>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</si>
  <si>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</si>
  <si>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</si>
  <si>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</si>
  <si>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</si>
  <si>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</si>
  <si>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</si>
  <si>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</si>
  <si>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</si>
  <si>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</si>
  <si>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</si>
  <si>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</si>
  <si>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</si>
  <si>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</si>
  <si>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</si>
  <si>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</si>
  <si>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</si>
  <si>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</si>
  <si>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</si>
  <si>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</si>
  <si>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</si>
  <si>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</si>
  <si>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</si>
  <si>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</si>
  <si>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</si>
  <si>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</si>
  <si>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</si>
  <si>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</si>
  <si>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</si>
  <si>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</si>
  <si>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</si>
  <si>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</si>
  <si>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</si>
  <si>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</si>
  <si>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</si>
  <si>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</si>
  <si>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</si>
  <si>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</si>
  <si>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</si>
  <si>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</si>
  <si>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</si>
  <si>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</si>
  <si>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</si>
  <si>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</si>
  <si>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</si>
  <si>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</si>
  <si>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</si>
  <si>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</si>
  <si>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</si>
  <si>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</si>
  <si>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</si>
  <si>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</si>
  <si>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</si>
  <si>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</si>
  <si>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</si>
  <si>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</si>
  <si>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</si>
  <si>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</si>
  <si>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</si>
  <si>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</si>
  <si>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</si>
  <si>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</si>
  <si>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</si>
  <si>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</si>
  <si>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</si>
  <si>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</si>
  <si>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</si>
  <si>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</si>
  <si>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</si>
  <si>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</si>
  <si>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</si>
  <si>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</si>
  <si>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</si>
  <si>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</si>
  <si>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</si>
  <si>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</si>
  <si>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</si>
  <si>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</si>
  <si>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</si>
  <si>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</si>
  <si>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</si>
  <si>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</si>
  <si>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</si>
  <si>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</si>
  <si>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</si>
  <si>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</si>
  <si>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</si>
  <si>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</si>
  <si>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</si>
  <si>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</si>
  <si>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</si>
  <si>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</si>
  <si>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</si>
  <si>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</si>
  <si>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</si>
  <si>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</si>
  <si>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</si>
  <si>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</si>
  <si>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</si>
  <si>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</si>
  <si>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Cefpodoxime R</t>
  </si>
  <si>
    <t>Cefpodoxime S</t>
  </si>
  <si>
    <t>C68-1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</si>
</sst>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u/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3" fillId="2" borderId="0" xfId="0" applyFont="1" applyFill="1"/>
    <xf numFmtId="0" fontId="24" fillId="3" borderId="3" xfId="0" applyFont="1" applyFill="1" applyBorder="1" applyAlignment="1" applyProtection="1">
      <alignment horizontal="center"/>
      <protection locked="0"/>
    </xf>
    <xf numFmtId="2" fontId="24" fillId="3" borderId="3" xfId="0" applyNumberFormat="1" applyFont="1" applyFill="1" applyBorder="1" applyAlignment="1" applyProtection="1">
      <alignment horizontal="center"/>
      <protection locked="0"/>
    </xf>
    <xf numFmtId="2" fontId="24" fillId="3" borderId="4" xfId="0" applyNumberFormat="1" applyFont="1" applyFill="1" applyBorder="1" applyAlignment="1" applyProtection="1">
      <alignment horizontal="center"/>
      <protection locked="0"/>
    </xf>
    <xf numFmtId="0" fontId="24" fillId="3" borderId="5" xfId="0" applyFont="1" applyFill="1" applyBorder="1" applyAlignment="1" applyProtection="1">
      <alignment horizontal="center"/>
      <protection locked="0"/>
    </xf>
    <xf numFmtId="2" fontId="24" fillId="3" borderId="5" xfId="0" applyNumberFormat="1" applyFont="1" applyFill="1" applyBorder="1" applyAlignment="1" applyProtection="1">
      <alignment horizontal="center"/>
      <protection locked="0"/>
    </xf>
    <xf numFmtId="0" fontId="25" fillId="3" borderId="0" xfId="0" applyFont="1" applyFill="1" applyAlignment="1" applyProtection="1">
      <alignment horizontal="left" wrapText="1"/>
      <protection locked="0"/>
    </xf>
    <xf numFmtId="0" fontId="26" fillId="3" borderId="0" xfId="0" applyFont="1" applyFill="1" applyAlignment="1" applyProtection="1">
      <alignment horizontal="left"/>
      <protection locked="0"/>
    </xf>
    <xf numFmtId="0" fontId="25" fillId="3" borderId="29" xfId="0" applyFont="1" applyFill="1" applyBorder="1" applyAlignment="1" applyProtection="1">
      <alignment horizontal="center"/>
      <protection locked="0"/>
    </xf>
    <xf numFmtId="0" fontId="25" fillId="3" borderId="2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view="pageBreakPreview" zoomScale="60" zoomScaleNormal="100" workbookViewId="0">
      <selection activeCell="D25" sqref="D25"/>
    </sheetView>
  </sheetViews>
  <sheetFormatPr defaultRowHeight="13.5" x14ac:dyDescent="0.25"/>
  <cols>
    <col min="1" max="1" width="26.7109375" style="3" customWidth="1"/>
    <col min="2" max="2" width="24.140625" style="3" customWidth="1"/>
    <col min="3" max="3" width="31.85546875" style="3" customWidth="1"/>
    <col min="4" max="4" width="25.85546875" style="3" customWidth="1"/>
    <col min="5" max="5" width="25.710937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 x14ac:dyDescent="0.3">
      <c r="A1" s="275" t="s">
        <v>0</v>
      </c>
      <c r="B1" s="275"/>
      <c r="C1" s="275"/>
      <c r="D1" s="275"/>
      <c r="E1" s="275"/>
    </row>
    <row r="2" spans="1:5" ht="16.5" customHeight="1" x14ac:dyDescent="0.3">
      <c r="A2" s="4" t="s">
        <v>1</v>
      </c>
      <c r="B2" s="5" t="s">
        <v>2</v>
      </c>
      <c r="C2" s="324" t="s">
        <v>124</v>
      </c>
    </row>
    <row r="3" spans="1:5" ht="16.5" customHeight="1" x14ac:dyDescent="0.3">
      <c r="A3" s="6" t="s">
        <v>3</v>
      </c>
      <c r="B3" s="7" t="s">
        <v>5</v>
      </c>
      <c r="D3" s="8"/>
      <c r="E3" s="9"/>
    </row>
    <row r="4" spans="1:5" ht="16.5" customHeight="1" x14ac:dyDescent="0.3">
      <c r="A4" s="10" t="s">
        <v>4</v>
      </c>
      <c r="B4" s="11" t="s">
        <v>9</v>
      </c>
      <c r="C4" s="9"/>
      <c r="D4" s="9"/>
      <c r="E4" s="9"/>
    </row>
    <row r="5" spans="1:5" ht="16.5" customHeight="1" x14ac:dyDescent="0.3">
      <c r="A5" s="10" t="s">
        <v>6</v>
      </c>
      <c r="B5" s="3">
        <v>93.77</v>
      </c>
      <c r="C5" s="9"/>
      <c r="D5" s="9"/>
      <c r="E5" s="9"/>
    </row>
    <row r="6" spans="1:5" ht="16.5" customHeight="1" x14ac:dyDescent="0.3">
      <c r="A6" s="6" t="s">
        <v>8</v>
      </c>
      <c r="B6" s="3">
        <v>24.17</v>
      </c>
      <c r="C6" s="9"/>
      <c r="D6" s="9"/>
      <c r="E6" s="9"/>
    </row>
    <row r="7" spans="1:5" ht="16.5" customHeight="1" x14ac:dyDescent="0.3">
      <c r="A7" s="6" t="s">
        <v>10</v>
      </c>
      <c r="B7" s="12" t="s">
        <v>11</v>
      </c>
      <c r="C7" s="9"/>
      <c r="D7" s="9"/>
      <c r="E7" s="9"/>
    </row>
    <row r="8" spans="1:5" ht="15.75" customHeight="1" x14ac:dyDescent="0.25">
      <c r="A8" s="9"/>
      <c r="B8" s="9" t="s">
        <v>12</v>
      </c>
      <c r="C8" s="9"/>
      <c r="D8" s="9"/>
      <c r="E8" s="9"/>
    </row>
    <row r="9" spans="1:5" ht="16.5" customHeight="1" x14ac:dyDescent="0.3">
      <c r="A9" s="13" t="s">
        <v>13</v>
      </c>
      <c r="B9" s="14" t="s">
        <v>14</v>
      </c>
      <c r="C9" s="13" t="s">
        <v>15</v>
      </c>
      <c r="D9" s="13" t="s">
        <v>16</v>
      </c>
      <c r="E9" s="15" t="s">
        <v>17</v>
      </c>
    </row>
    <row r="10" spans="1:5" ht="16.5" customHeight="1" x14ac:dyDescent="0.3">
      <c r="A10" s="16">
        <v>1</v>
      </c>
      <c r="B10" s="325">
        <v>3387326</v>
      </c>
      <c r="C10" s="325">
        <v>13368.8</v>
      </c>
      <c r="D10" s="326">
        <v>1.1000000000000001</v>
      </c>
      <c r="E10" s="327">
        <v>10.3</v>
      </c>
    </row>
    <row r="11" spans="1:5" ht="16.5" customHeight="1" x14ac:dyDescent="0.3">
      <c r="A11" s="16">
        <v>2</v>
      </c>
      <c r="B11" s="325">
        <v>3407486</v>
      </c>
      <c r="C11" s="325">
        <v>13413.1</v>
      </c>
      <c r="D11" s="326">
        <v>1.1000000000000001</v>
      </c>
      <c r="E11" s="326">
        <v>10.3</v>
      </c>
    </row>
    <row r="12" spans="1:5" ht="16.5" customHeight="1" x14ac:dyDescent="0.3">
      <c r="A12" s="16">
        <v>3</v>
      </c>
      <c r="B12" s="325">
        <v>3390908</v>
      </c>
      <c r="C12" s="325">
        <v>13345.1</v>
      </c>
      <c r="D12" s="326">
        <v>1.2</v>
      </c>
      <c r="E12" s="326">
        <v>10.3</v>
      </c>
    </row>
    <row r="13" spans="1:5" ht="16.5" customHeight="1" x14ac:dyDescent="0.3">
      <c r="A13" s="16">
        <v>4</v>
      </c>
      <c r="B13" s="325">
        <v>3408089</v>
      </c>
      <c r="C13" s="325">
        <v>13376.3</v>
      </c>
      <c r="D13" s="326">
        <v>1.1000000000000001</v>
      </c>
      <c r="E13" s="326">
        <v>10.3</v>
      </c>
    </row>
    <row r="14" spans="1:5" ht="16.5" customHeight="1" x14ac:dyDescent="0.3">
      <c r="A14" s="16">
        <v>5</v>
      </c>
      <c r="B14" s="325">
        <v>3421453</v>
      </c>
      <c r="C14" s="325">
        <v>13368.8</v>
      </c>
      <c r="D14" s="326">
        <v>1.1000000000000001</v>
      </c>
      <c r="E14" s="326">
        <v>10.3</v>
      </c>
    </row>
    <row r="15" spans="1:5" ht="16.5" customHeight="1" x14ac:dyDescent="0.3">
      <c r="A15" s="16">
        <v>6</v>
      </c>
      <c r="B15" s="328">
        <v>3434026</v>
      </c>
      <c r="C15" s="328">
        <v>13364.5</v>
      </c>
      <c r="D15" s="329">
        <v>1.1000000000000001</v>
      </c>
      <c r="E15" s="329">
        <v>10.3</v>
      </c>
    </row>
    <row r="16" spans="1:5" ht="16.5" customHeight="1" x14ac:dyDescent="0.3">
      <c r="A16" s="17" t="s">
        <v>18</v>
      </c>
      <c r="B16" s="18">
        <f>AVERAGE(B10:B15)</f>
        <v>3408214.6666666665</v>
      </c>
      <c r="C16" s="19">
        <f>AVERAGE(C10:C15)</f>
        <v>13372.766666666668</v>
      </c>
      <c r="D16" s="20">
        <f>AVERAGE(D10:D15)</f>
        <v>1.1166666666666665</v>
      </c>
      <c r="E16" s="20">
        <f>AVERAGE(E10:E15)</f>
        <v>10.299999999999999</v>
      </c>
    </row>
    <row r="17" spans="1:6" ht="16.5" customHeight="1" x14ac:dyDescent="0.3">
      <c r="A17" s="21" t="s">
        <v>19</v>
      </c>
      <c r="B17" s="22">
        <f>(STDEV(B10:B15)/B16)</f>
        <v>5.2122513721645216E-3</v>
      </c>
      <c r="C17" s="23"/>
      <c r="D17" s="23"/>
      <c r="E17" s="24"/>
      <c r="F17" s="2"/>
    </row>
    <row r="18" spans="1:6" s="2" customFormat="1" ht="16.5" customHeight="1" x14ac:dyDescent="0.3">
      <c r="A18" s="25" t="s">
        <v>20</v>
      </c>
      <c r="B18" s="26">
        <f>COUNT(B10:B15)</f>
        <v>6</v>
      </c>
      <c r="C18" s="27"/>
      <c r="D18" s="28"/>
      <c r="E18" s="29"/>
    </row>
    <row r="19" spans="1:6" s="2" customFormat="1" ht="15.75" customHeight="1" x14ac:dyDescent="0.25">
      <c r="A19" s="9"/>
      <c r="B19" s="9"/>
      <c r="C19" s="9"/>
      <c r="D19" s="9"/>
      <c r="E19" s="30"/>
    </row>
    <row r="20" spans="1:6" s="2" customFormat="1" ht="16.5" customHeight="1" x14ac:dyDescent="0.3">
      <c r="A20" s="10" t="s">
        <v>21</v>
      </c>
      <c r="B20" s="31" t="s">
        <v>22</v>
      </c>
      <c r="C20" s="32"/>
      <c r="D20" s="32"/>
      <c r="E20" s="33"/>
    </row>
    <row r="21" spans="1:6" ht="16.5" customHeight="1" x14ac:dyDescent="0.3">
      <c r="A21" s="10"/>
      <c r="B21" s="31" t="s">
        <v>23</v>
      </c>
      <c r="C21" s="32"/>
      <c r="D21" s="32"/>
      <c r="E21" s="33"/>
      <c r="F21" s="2"/>
    </row>
    <row r="22" spans="1:6" ht="16.5" customHeight="1" x14ac:dyDescent="0.3">
      <c r="A22" s="10"/>
      <c r="B22" s="34" t="s">
        <v>24</v>
      </c>
      <c r="C22" s="32"/>
      <c r="D22" s="32"/>
      <c r="E22" s="32"/>
    </row>
    <row r="23" spans="1:6" ht="15.75" customHeight="1" x14ac:dyDescent="0.25">
      <c r="A23" s="9"/>
      <c r="B23" s="9"/>
      <c r="C23" s="9"/>
      <c r="D23" s="9"/>
      <c r="E23" s="9"/>
    </row>
    <row r="24" spans="1:6" ht="16.5" customHeight="1" x14ac:dyDescent="0.3">
      <c r="A24" s="4" t="s">
        <v>1</v>
      </c>
      <c r="B24" s="324" t="s">
        <v>125</v>
      </c>
    </row>
    <row r="25" spans="1:6" ht="16.5" customHeight="1" x14ac:dyDescent="0.3">
      <c r="A25" s="10" t="s">
        <v>4</v>
      </c>
      <c r="B25" s="11" t="s">
        <v>9</v>
      </c>
      <c r="C25" s="9"/>
      <c r="D25" s="9"/>
      <c r="E25" s="9"/>
    </row>
    <row r="26" spans="1:6" ht="16.5" customHeight="1" x14ac:dyDescent="0.3">
      <c r="A26" s="10" t="s">
        <v>6</v>
      </c>
      <c r="B26" s="11">
        <v>93.77</v>
      </c>
      <c r="C26" s="9"/>
      <c r="D26" s="9"/>
      <c r="E26" s="9"/>
    </row>
    <row r="27" spans="1:6" ht="16.5" customHeight="1" x14ac:dyDescent="0.3">
      <c r="A27" s="6" t="s">
        <v>8</v>
      </c>
      <c r="B27" s="11">
        <v>24.17</v>
      </c>
      <c r="C27" s="9"/>
      <c r="D27" s="9"/>
      <c r="E27" s="9"/>
    </row>
    <row r="28" spans="1:6" ht="16.5" customHeight="1" x14ac:dyDescent="0.3">
      <c r="A28" s="6" t="s">
        <v>10</v>
      </c>
      <c r="B28" s="12"/>
      <c r="C28" s="9"/>
      <c r="D28" s="9"/>
      <c r="E28" s="9"/>
    </row>
    <row r="29" spans="1:6" ht="15.75" customHeight="1" x14ac:dyDescent="0.25">
      <c r="A29" s="9"/>
      <c r="B29" s="9"/>
      <c r="C29" s="9"/>
      <c r="D29" s="9"/>
      <c r="E29" s="9"/>
    </row>
    <row r="30" spans="1:6" ht="16.5" customHeight="1" x14ac:dyDescent="0.3">
      <c r="A30" s="13" t="s">
        <v>13</v>
      </c>
      <c r="B30" s="14" t="s">
        <v>14</v>
      </c>
      <c r="C30" s="13" t="s">
        <v>15</v>
      </c>
      <c r="D30" s="13" t="s">
        <v>16</v>
      </c>
      <c r="E30" s="15" t="s">
        <v>17</v>
      </c>
    </row>
    <row r="31" spans="1:6" ht="16.5" customHeight="1" x14ac:dyDescent="0.3">
      <c r="A31" s="16">
        <v>1</v>
      </c>
      <c r="B31" s="325">
        <v>3434638</v>
      </c>
      <c r="C31" s="325">
        <v>13272.9</v>
      </c>
      <c r="D31" s="326">
        <v>1.1000000000000001</v>
      </c>
      <c r="E31" s="327">
        <v>11.3</v>
      </c>
    </row>
    <row r="32" spans="1:6" ht="16.5" customHeight="1" x14ac:dyDescent="0.3">
      <c r="A32" s="16">
        <v>2</v>
      </c>
      <c r="B32" s="325">
        <v>3455879</v>
      </c>
      <c r="C32" s="325">
        <v>13283.5</v>
      </c>
      <c r="D32" s="326">
        <v>1.1000000000000001</v>
      </c>
      <c r="E32" s="326">
        <v>11.3</v>
      </c>
    </row>
    <row r="33" spans="1:7" ht="16.5" customHeight="1" x14ac:dyDescent="0.3">
      <c r="A33" s="16">
        <v>3</v>
      </c>
      <c r="B33" s="325">
        <v>3440807</v>
      </c>
      <c r="C33" s="325">
        <v>13257.5</v>
      </c>
      <c r="D33" s="326">
        <v>1.2</v>
      </c>
      <c r="E33" s="326">
        <v>11.3</v>
      </c>
    </row>
    <row r="34" spans="1:7" ht="16.5" customHeight="1" x14ac:dyDescent="0.3">
      <c r="A34" s="16">
        <v>4</v>
      </c>
      <c r="B34" s="325">
        <v>3461004</v>
      </c>
      <c r="C34" s="325">
        <v>13292.5</v>
      </c>
      <c r="D34" s="326">
        <v>1.1000000000000001</v>
      </c>
      <c r="E34" s="326">
        <v>11.3</v>
      </c>
    </row>
    <row r="35" spans="1:7" ht="16.5" customHeight="1" x14ac:dyDescent="0.3">
      <c r="A35" s="16">
        <v>5</v>
      </c>
      <c r="B35" s="325">
        <v>3469199</v>
      </c>
      <c r="C35" s="325">
        <v>13306.4</v>
      </c>
      <c r="D35" s="326">
        <v>1.1000000000000001</v>
      </c>
      <c r="E35" s="326">
        <v>11.3</v>
      </c>
    </row>
    <row r="36" spans="1:7" ht="16.5" customHeight="1" x14ac:dyDescent="0.3">
      <c r="A36" s="16">
        <v>6</v>
      </c>
      <c r="B36" s="328">
        <v>3481814</v>
      </c>
      <c r="C36" s="328">
        <v>13298.7</v>
      </c>
      <c r="D36" s="329">
        <v>1.2</v>
      </c>
      <c r="E36" s="329">
        <v>11.3</v>
      </c>
    </row>
    <row r="37" spans="1:7" ht="16.5" customHeight="1" x14ac:dyDescent="0.3">
      <c r="A37" s="17" t="s">
        <v>18</v>
      </c>
      <c r="B37" s="18">
        <f>AVERAGE(B31:B36)</f>
        <v>3457223.5</v>
      </c>
      <c r="C37" s="19">
        <f>AVERAGE(C31:C36)</f>
        <v>13285.25</v>
      </c>
      <c r="D37" s="20">
        <f>AVERAGE(D31:D36)</f>
        <v>1.1333333333333333</v>
      </c>
      <c r="E37" s="20">
        <f>AVERAGE(E31:E36)</f>
        <v>11.299999999999999</v>
      </c>
    </row>
    <row r="38" spans="1:7" ht="16.5" customHeight="1" x14ac:dyDescent="0.3">
      <c r="A38" s="21" t="s">
        <v>19</v>
      </c>
      <c r="B38" s="22">
        <f>(STDEV(B31:B36)/B37)</f>
        <v>5.0825852050816927E-3</v>
      </c>
      <c r="C38" s="23"/>
      <c r="D38" s="23"/>
      <c r="E38" s="24"/>
      <c r="F38" s="2"/>
    </row>
    <row r="39" spans="1:7" s="2" customFormat="1" ht="16.5" customHeight="1" x14ac:dyDescent="0.3">
      <c r="A39" s="25" t="s">
        <v>20</v>
      </c>
      <c r="B39" s="26">
        <f>COUNT(B31:B36)</f>
        <v>6</v>
      </c>
      <c r="C39" s="27"/>
      <c r="D39" s="28"/>
      <c r="E39" s="29"/>
    </row>
    <row r="40" spans="1:7" s="2" customFormat="1" ht="15.75" customHeight="1" x14ac:dyDescent="0.25">
      <c r="A40" s="9"/>
      <c r="B40" s="9"/>
      <c r="C40" s="9"/>
      <c r="D40" s="9"/>
      <c r="E40" s="30"/>
    </row>
    <row r="41" spans="1:7" s="2" customFormat="1" ht="16.5" customHeight="1" x14ac:dyDescent="0.3">
      <c r="A41" s="10" t="s">
        <v>21</v>
      </c>
      <c r="B41" s="31" t="s">
        <v>22</v>
      </c>
      <c r="C41" s="32"/>
      <c r="D41" s="32"/>
      <c r="E41" s="33"/>
    </row>
    <row r="42" spans="1:7" ht="16.5" customHeight="1" x14ac:dyDescent="0.3">
      <c r="A42" s="10"/>
      <c r="B42" s="31" t="s">
        <v>23</v>
      </c>
      <c r="C42" s="32"/>
      <c r="D42" s="32"/>
      <c r="E42" s="33"/>
      <c r="F42" s="2"/>
    </row>
    <row r="43" spans="1:7" ht="16.5" customHeight="1" x14ac:dyDescent="0.3">
      <c r="A43" s="10"/>
      <c r="B43" s="34" t="s">
        <v>24</v>
      </c>
      <c r="C43" s="32"/>
      <c r="D43" s="33"/>
      <c r="E43" s="32"/>
    </row>
    <row r="44" spans="1:7" ht="14.25" customHeight="1" x14ac:dyDescent="0.25">
      <c r="A44" s="35"/>
      <c r="B44" s="36"/>
      <c r="D44" s="37"/>
      <c r="F44" s="38"/>
      <c r="G44" s="38"/>
    </row>
    <row r="45" spans="1:7" ht="15" customHeight="1" x14ac:dyDescent="0.3">
      <c r="B45" s="276" t="s">
        <v>25</v>
      </c>
      <c r="C45" s="276"/>
      <c r="E45" s="39" t="s">
        <v>26</v>
      </c>
      <c r="F45" s="40"/>
      <c r="G45" s="39" t="s">
        <v>27</v>
      </c>
    </row>
    <row r="46" spans="1:7" ht="15" customHeight="1" x14ac:dyDescent="0.3">
      <c r="A46" s="41" t="s">
        <v>28</v>
      </c>
      <c r="B46" s="42"/>
      <c r="C46" s="42"/>
      <c r="E46" s="42"/>
      <c r="F46" s="2"/>
      <c r="G46" s="43"/>
    </row>
    <row r="47" spans="1:7" ht="15" customHeight="1" x14ac:dyDescent="0.3">
      <c r="A47" s="41" t="s">
        <v>29</v>
      </c>
      <c r="B47" s="44"/>
      <c r="C47" s="44"/>
      <c r="E47" s="44"/>
      <c r="F47" s="2"/>
      <c r="G47" s="45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view="pageBreakPreview" topLeftCell="A30" workbookViewId="0">
      <selection activeCell="F16" sqref="F16"/>
    </sheetView>
  </sheetViews>
  <sheetFormatPr defaultRowHeight="15" x14ac:dyDescent="0.3"/>
  <cols>
    <col min="1" max="1" width="15.5703125" style="1" customWidth="1"/>
    <col min="2" max="2" width="12.8554687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  <col min="9" max="9" width="11.140625" customWidth="1"/>
  </cols>
  <sheetData>
    <row r="1" spans="1:7" ht="13.5" customHeight="1" thickBot="1" x14ac:dyDescent="0.35">
      <c r="A1" s="280" t="s">
        <v>30</v>
      </c>
      <c r="B1" s="281"/>
      <c r="C1" s="281"/>
      <c r="D1" s="281"/>
      <c r="E1" s="281"/>
      <c r="F1" s="282"/>
      <c r="G1" s="85"/>
    </row>
    <row r="2" spans="1:7" ht="16.5" customHeight="1" x14ac:dyDescent="0.3">
      <c r="A2" s="279" t="s">
        <v>31</v>
      </c>
      <c r="B2" s="279"/>
      <c r="C2" s="279"/>
      <c r="D2" s="279"/>
      <c r="E2" s="279"/>
      <c r="F2" s="279"/>
      <c r="G2" s="84"/>
    </row>
    <row r="4" spans="1:7" ht="16.5" customHeight="1" x14ac:dyDescent="0.3">
      <c r="A4" s="284" t="s">
        <v>32</v>
      </c>
      <c r="B4" s="284"/>
      <c r="C4" s="54" t="s">
        <v>5</v>
      </c>
    </row>
    <row r="5" spans="1:7" ht="16.5" customHeight="1" x14ac:dyDescent="0.3">
      <c r="A5" s="284" t="s">
        <v>33</v>
      </c>
      <c r="B5" s="284"/>
      <c r="C5" s="54" t="s">
        <v>7</v>
      </c>
    </row>
    <row r="6" spans="1:7" ht="16.5" customHeight="1" x14ac:dyDescent="0.3">
      <c r="A6" s="284" t="s">
        <v>34</v>
      </c>
      <c r="B6" s="284"/>
      <c r="C6" s="54" t="s">
        <v>9</v>
      </c>
    </row>
    <row r="7" spans="1:7" ht="16.5" customHeight="1" x14ac:dyDescent="0.3">
      <c r="A7" s="284" t="s">
        <v>35</v>
      </c>
      <c r="B7" s="284"/>
      <c r="C7" s="54" t="s">
        <v>11</v>
      </c>
    </row>
    <row r="8" spans="1:7" ht="16.5" customHeight="1" x14ac:dyDescent="0.3">
      <c r="A8" s="284" t="s">
        <v>36</v>
      </c>
      <c r="B8" s="284"/>
      <c r="C8" s="91" t="s">
        <v>12</v>
      </c>
    </row>
    <row r="9" spans="1:7" ht="16.5" customHeight="1" x14ac:dyDescent="0.3">
      <c r="A9" s="284" t="s">
        <v>37</v>
      </c>
      <c r="B9" s="284"/>
      <c r="C9" s="91" t="e">
        <f>#REF!</f>
        <v>#REF!</v>
      </c>
    </row>
    <row r="10" spans="1:7" ht="16.5" customHeight="1" x14ac:dyDescent="0.3">
      <c r="A10" s="56"/>
      <c r="B10" s="56"/>
      <c r="C10" s="71"/>
    </row>
    <row r="11" spans="1:7" ht="16.5" customHeight="1" x14ac:dyDescent="0.3">
      <c r="A11" s="279" t="s">
        <v>1</v>
      </c>
      <c r="B11" s="279"/>
      <c r="C11" s="53" t="s">
        <v>38</v>
      </c>
      <c r="D11" s="60"/>
    </row>
    <row r="12" spans="1:7" ht="15.75" customHeight="1" x14ac:dyDescent="0.3">
      <c r="A12" s="283"/>
      <c r="B12" s="283"/>
      <c r="C12" s="51"/>
      <c r="D12" s="283"/>
      <c r="E12" s="283"/>
    </row>
    <row r="13" spans="1:7" ht="33.75" customHeight="1" x14ac:dyDescent="0.3">
      <c r="C13" s="80" t="s">
        <v>39</v>
      </c>
      <c r="D13" s="79" t="s">
        <v>40</v>
      </c>
      <c r="E13" s="46"/>
    </row>
    <row r="14" spans="1:7" ht="15.75" customHeight="1" x14ac:dyDescent="0.3">
      <c r="C14" s="89">
        <v>295.69</v>
      </c>
      <c r="D14" s="81">
        <f t="shared" ref="D14:D33" si="0">(C14-$C$36)/$C$36</f>
        <v>1.3959995747876404E-2</v>
      </c>
      <c r="E14" s="47"/>
    </row>
    <row r="15" spans="1:7" ht="15.75" customHeight="1" x14ac:dyDescent="0.3">
      <c r="C15" s="89">
        <v>285.39999999999998</v>
      </c>
      <c r="D15" s="82">
        <f t="shared" si="0"/>
        <v>-2.1325770954567606E-2</v>
      </c>
      <c r="E15" s="47"/>
    </row>
    <row r="16" spans="1:7" ht="15.75" customHeight="1" x14ac:dyDescent="0.3">
      <c r="C16" s="89">
        <v>295.93</v>
      </c>
      <c r="D16" s="82">
        <f t="shared" si="0"/>
        <v>1.4782987391082124E-2</v>
      </c>
      <c r="E16" s="47"/>
    </row>
    <row r="17" spans="3:5" ht="15.75" customHeight="1" x14ac:dyDescent="0.3">
      <c r="C17" s="89">
        <v>290.43</v>
      </c>
      <c r="D17" s="82">
        <f t="shared" si="0"/>
        <v>-4.0772377657149273E-3</v>
      </c>
      <c r="E17" s="47"/>
    </row>
    <row r="18" spans="3:5" ht="15.75" customHeight="1" x14ac:dyDescent="0.3">
      <c r="C18" s="89">
        <v>280.86</v>
      </c>
      <c r="D18" s="82">
        <f t="shared" si="0"/>
        <v>-3.6894029538541775E-2</v>
      </c>
      <c r="E18" s="47"/>
    </row>
    <row r="19" spans="3:5" ht="15.75" customHeight="1" x14ac:dyDescent="0.3">
      <c r="C19" s="89">
        <v>293.33999999999997</v>
      </c>
      <c r="D19" s="82">
        <f t="shared" si="0"/>
        <v>5.9015359081539499E-3</v>
      </c>
      <c r="E19" s="47"/>
    </row>
    <row r="20" spans="3:5" ht="15.75" customHeight="1" x14ac:dyDescent="0.3">
      <c r="C20" s="89">
        <v>289.88</v>
      </c>
      <c r="D20" s="82">
        <f t="shared" si="0"/>
        <v>-5.9632602813946712E-3</v>
      </c>
      <c r="E20" s="47"/>
    </row>
    <row r="21" spans="3:5" ht="15.75" customHeight="1" x14ac:dyDescent="0.3">
      <c r="C21" s="89">
        <v>283.99</v>
      </c>
      <c r="D21" s="82">
        <f t="shared" si="0"/>
        <v>-2.6160846858400921E-2</v>
      </c>
      <c r="E21" s="47"/>
    </row>
    <row r="22" spans="3:5" ht="15.75" customHeight="1" x14ac:dyDescent="0.3">
      <c r="C22" s="89">
        <v>305.45</v>
      </c>
      <c r="D22" s="82">
        <f t="shared" si="0"/>
        <v>4.7428322571574415E-2</v>
      </c>
      <c r="E22" s="47"/>
    </row>
    <row r="23" spans="3:5" ht="15.75" customHeight="1" x14ac:dyDescent="0.3">
      <c r="C23" s="89">
        <v>289.79000000000002</v>
      </c>
      <c r="D23" s="82">
        <f t="shared" si="0"/>
        <v>-6.271882147596719E-3</v>
      </c>
      <c r="E23" s="47"/>
    </row>
    <row r="24" spans="3:5" ht="15.75" customHeight="1" x14ac:dyDescent="0.3">
      <c r="C24" s="89">
        <v>291.26</v>
      </c>
      <c r="D24" s="82">
        <f t="shared" si="0"/>
        <v>-1.2310583329619717E-3</v>
      </c>
      <c r="E24" s="47"/>
    </row>
    <row r="25" spans="3:5" ht="15.75" customHeight="1" x14ac:dyDescent="0.3">
      <c r="C25" s="89">
        <v>291.8</v>
      </c>
      <c r="D25" s="82">
        <f t="shared" si="0"/>
        <v>6.2067286425089986E-4</v>
      </c>
      <c r="E25" s="47"/>
    </row>
    <row r="26" spans="3:5" ht="15.75" customHeight="1" x14ac:dyDescent="0.3">
      <c r="C26" s="89">
        <v>308.97000000000003</v>
      </c>
      <c r="D26" s="82">
        <f t="shared" si="0"/>
        <v>5.9498866671924659E-2</v>
      </c>
      <c r="E26" s="47"/>
    </row>
    <row r="27" spans="3:5" ht="15.75" customHeight="1" x14ac:dyDescent="0.3">
      <c r="C27" s="89">
        <v>289.57</v>
      </c>
      <c r="D27" s="82">
        <f t="shared" si="0"/>
        <v>-7.0262911538686943E-3</v>
      </c>
      <c r="E27" s="47"/>
    </row>
    <row r="28" spans="3:5" ht="15.75" customHeight="1" x14ac:dyDescent="0.3">
      <c r="C28" s="89">
        <v>283.29000000000002</v>
      </c>
      <c r="D28" s="82">
        <f t="shared" si="0"/>
        <v>-2.8561239151084144E-2</v>
      </c>
      <c r="E28" s="47"/>
    </row>
    <row r="29" spans="3:5" ht="15.75" customHeight="1" x14ac:dyDescent="0.3">
      <c r="C29" s="89">
        <v>287.51</v>
      </c>
      <c r="D29" s="82">
        <f t="shared" si="0"/>
        <v>-1.4090302758050871E-2</v>
      </c>
      <c r="E29" s="47"/>
    </row>
    <row r="30" spans="3:5" ht="15.75" customHeight="1" x14ac:dyDescent="0.3">
      <c r="C30" s="89">
        <v>292.58</v>
      </c>
      <c r="D30" s="82">
        <f t="shared" si="0"/>
        <v>3.2953957046692973E-3</v>
      </c>
      <c r="E30" s="47"/>
    </row>
    <row r="31" spans="3:5" ht="15.75" customHeight="1" x14ac:dyDescent="0.3">
      <c r="C31" s="89">
        <v>294.70999999999998</v>
      </c>
      <c r="D31" s="82">
        <f t="shared" si="0"/>
        <v>1.0599446538119776E-2</v>
      </c>
      <c r="E31" s="47"/>
    </row>
    <row r="32" spans="3:5" ht="15.75" customHeight="1" x14ac:dyDescent="0.3">
      <c r="C32" s="89">
        <v>288.44</v>
      </c>
      <c r="D32" s="82">
        <f t="shared" si="0"/>
        <v>-1.09012101406288E-2</v>
      </c>
      <c r="E32" s="47"/>
    </row>
    <row r="33" spans="1:7" ht="16.5" customHeight="1" x14ac:dyDescent="0.3">
      <c r="C33" s="90">
        <v>293.49</v>
      </c>
      <c r="D33" s="83">
        <f t="shared" si="0"/>
        <v>6.4159056851576229E-3</v>
      </c>
      <c r="E33" s="47"/>
    </row>
    <row r="34" spans="1:7" ht="16.5" customHeight="1" x14ac:dyDescent="0.3">
      <c r="C34" s="48"/>
      <c r="D34" s="47"/>
      <c r="E34" s="49"/>
    </row>
    <row r="35" spans="1:7" ht="16.5" customHeight="1" x14ac:dyDescent="0.3">
      <c r="B35" s="76" t="s">
        <v>41</v>
      </c>
      <c r="C35" s="77">
        <f>SUM(C14:C34)</f>
        <v>5832.38</v>
      </c>
      <c r="D35" s="72"/>
      <c r="E35" s="48"/>
    </row>
    <row r="36" spans="1:7" ht="17.25" customHeight="1" x14ac:dyDescent="0.3">
      <c r="B36" s="76" t="s">
        <v>42</v>
      </c>
      <c r="C36" s="78">
        <f>AVERAGE(C14:C34)</f>
        <v>291.61900000000003</v>
      </c>
      <c r="E36" s="50"/>
    </row>
    <row r="37" spans="1:7" ht="17.25" customHeight="1" x14ac:dyDescent="0.3">
      <c r="A37" s="54"/>
      <c r="B37" s="73"/>
      <c r="D37" s="52"/>
      <c r="E37" s="50"/>
    </row>
    <row r="38" spans="1:7" ht="33.75" customHeight="1" x14ac:dyDescent="0.3">
      <c r="B38" s="86" t="s">
        <v>42</v>
      </c>
      <c r="C38" s="79" t="s">
        <v>43</v>
      </c>
      <c r="D38" s="74"/>
      <c r="G38" s="52"/>
    </row>
    <row r="39" spans="1:7" ht="17.25" customHeight="1" x14ac:dyDescent="0.3">
      <c r="B39" s="277">
        <f>C36</f>
        <v>291.61900000000003</v>
      </c>
      <c r="C39" s="87">
        <f>-IF(C36&lt;=80,10%,IF(C36&lt;250,7.5%,5%))</f>
        <v>-0.05</v>
      </c>
      <c r="D39" s="75">
        <f>IF(C36&lt;=80,C36*0.9,IF(C36&lt;250,C36*0.925,C36*0.95))</f>
        <v>277.03805</v>
      </c>
    </row>
    <row r="40" spans="1:7" ht="17.25" customHeight="1" x14ac:dyDescent="0.3">
      <c r="B40" s="278"/>
      <c r="C40" s="88">
        <f>IF(C36&lt;=80, 10%, IF(C36&lt;250, 7.5%, 5%))</f>
        <v>0.05</v>
      </c>
      <c r="D40" s="75">
        <f>IF(C36&lt;=80, C36*1.1, IF(C36&lt;250, C36*1.075, C36*1.05))</f>
        <v>306.19995000000006</v>
      </c>
    </row>
    <row r="41" spans="1:7" ht="16.5" customHeight="1" x14ac:dyDescent="0.3">
      <c r="A41" s="57"/>
      <c r="B41" s="58"/>
      <c r="C41" s="54"/>
      <c r="D41" s="59"/>
      <c r="E41" s="54"/>
      <c r="F41" s="60"/>
    </row>
    <row r="42" spans="1:7" ht="16.5" customHeight="1" x14ac:dyDescent="0.3">
      <c r="A42" s="54"/>
      <c r="B42" s="61" t="s">
        <v>25</v>
      </c>
      <c r="C42" s="61"/>
      <c r="D42" s="62" t="s">
        <v>26</v>
      </c>
      <c r="E42" s="63"/>
      <c r="F42" s="62" t="s">
        <v>27</v>
      </c>
    </row>
    <row r="43" spans="1:7" ht="34.5" customHeight="1" x14ac:dyDescent="0.3">
      <c r="A43" s="64" t="s">
        <v>28</v>
      </c>
      <c r="B43" s="65"/>
      <c r="C43" s="66"/>
      <c r="D43" s="65"/>
      <c r="E43" s="55"/>
      <c r="F43" s="67"/>
    </row>
    <row r="44" spans="1:7" ht="34.5" customHeight="1" x14ac:dyDescent="0.3">
      <c r="A44" s="64" t="s">
        <v>29</v>
      </c>
      <c r="B44" s="68"/>
      <c r="C44" s="69"/>
      <c r="D44" s="68"/>
      <c r="E44" s="55"/>
      <c r="F44" s="70"/>
    </row>
  </sheetData>
  <sheetProtection formatCells="0" formatColumns="0" formatRows="0" insertColumns="0" insertRows="0" insertHyperlinks="0" deleteColumns="0" deleteRows="0" sort="0" autoFilter="0" pivotTables="0"/>
  <mergeCells count="12">
    <mergeCell ref="B39:B40"/>
    <mergeCell ref="A2:F2"/>
    <mergeCell ref="A1:F1"/>
    <mergeCell ref="A12:B12"/>
    <mergeCell ref="D12:E12"/>
    <mergeCell ref="A4:B4"/>
    <mergeCell ref="A5:B5"/>
    <mergeCell ref="A6:B6"/>
    <mergeCell ref="A7:B7"/>
    <mergeCell ref="A8:B8"/>
    <mergeCell ref="A9:B9"/>
    <mergeCell ref="A11:B11"/>
  </mergeCells>
  <conditionalFormatting sqref="D14">
    <cfRule type="cellIs" dxfId="29" priority="1" operator="notBetween">
      <formula>IF(C36&lt;=80,-10.5%,IF(C36&lt;250,-7.5%,-5.5%))</formula>
      <formula>IF(C36&lt;=80,10.5%, IF(C36&lt;250,7.5%, C36*5.5%))</formula>
    </cfRule>
  </conditionalFormatting>
  <conditionalFormatting sqref="D15">
    <cfRule type="cellIs" dxfId="28" priority="2" operator="notBetween">
      <formula>IF(C36&lt;=80,-10.5%,IF(C36&lt;250,-7.5%,-5.5%))</formula>
      <formula>IF(C36&lt;=80,10.5%, IF(C36&lt;250,7.5%, C36*5.5%))</formula>
    </cfRule>
  </conditionalFormatting>
  <conditionalFormatting sqref="D16">
    <cfRule type="cellIs" dxfId="27" priority="3" operator="notBetween">
      <formula>IF(C36&lt;=80,-10.5%,IF(C36&lt;250,-7.5%,-5.5%))</formula>
      <formula>IF(C36&lt;=80,10.5%, IF(C36&lt;250,7.5%, C36*5.5%))</formula>
    </cfRule>
  </conditionalFormatting>
  <conditionalFormatting sqref="D17">
    <cfRule type="cellIs" dxfId="26" priority="4" operator="notBetween">
      <formula>IF(C36&lt;=80,-10.5%,IF(C36&lt;250,-7.5%,-5.5%))</formula>
      <formula>IF(C36&lt;=80,10.5%, IF(C36&lt;250,7.5%, C36*5.5%))</formula>
    </cfRule>
  </conditionalFormatting>
  <conditionalFormatting sqref="D18">
    <cfRule type="cellIs" dxfId="25" priority="5" operator="notBetween">
      <formula>IF(C36&lt;=80,-10.5%,IF(C36&lt;250,-7.5%,-5.5%))</formula>
      <formula>IF(C36&lt;=80,10.5%, IF(C36&lt;250,7.5%, C36*5.5%))</formula>
    </cfRule>
  </conditionalFormatting>
  <conditionalFormatting sqref="D19">
    <cfRule type="cellIs" dxfId="24" priority="6" operator="notBetween">
      <formula>IF(C36&lt;=80,-10.5%,IF(C36&lt;250,-7.5%,-5.5%))</formula>
      <formula>IF(C36&lt;=80,10.5%, IF(C36&lt;250,7.5%, C36*5.5%))</formula>
    </cfRule>
  </conditionalFormatting>
  <conditionalFormatting sqref="D20">
    <cfRule type="cellIs" dxfId="23" priority="7" operator="notBetween">
      <formula>IF(C36&lt;=80,-10.5%,IF(C36&lt;250,-7.5%,-5.5%))</formula>
      <formula>IF(C36&lt;=80,10.5%, IF(C36&lt;250,7.5%, C36*5.5%))</formula>
    </cfRule>
  </conditionalFormatting>
  <conditionalFormatting sqref="D21">
    <cfRule type="cellIs" dxfId="22" priority="8" operator="notBetween">
      <formula>IF(C36&lt;=80,-10.5%,IF(C36&lt;250,-7.5%,-5.5%))</formula>
      <formula>IF(C36&lt;=80,10.5%, IF(C36&lt;250,7.5%, C36*5.5%))</formula>
    </cfRule>
  </conditionalFormatting>
  <conditionalFormatting sqref="D22">
    <cfRule type="cellIs" dxfId="21" priority="9" operator="notBetween">
      <formula>IF(C36&lt;=80,-10.5%,IF(C36&lt;250,-7.5%,-5.5%))</formula>
      <formula>IF(C36&lt;=80,10.5%, IF(C36&lt;250,7.5%, C36*5.5%))</formula>
    </cfRule>
  </conditionalFormatting>
  <conditionalFormatting sqref="D23">
    <cfRule type="cellIs" dxfId="20" priority="10" operator="notBetween">
      <formula>IF(C36&lt;=80,-10.5%,IF(C36&lt;250,-7.5%,-5.5%))</formula>
      <formula>IF(C36&lt;=80,10.5%, IF(C36&lt;250,7.5%, C36*5.5%))</formula>
    </cfRule>
  </conditionalFormatting>
  <conditionalFormatting sqref="D24">
    <cfRule type="cellIs" dxfId="19" priority="11" operator="notBetween">
      <formula>IF(C36&lt;=80,-10.5%,IF(C36&lt;250,-7.5%,-5.5%))</formula>
      <formula>IF(C36&lt;=80,10.5%, IF(C36&lt;250,7.5%, C36*5.5%))</formula>
    </cfRule>
  </conditionalFormatting>
  <conditionalFormatting sqref="D25">
    <cfRule type="cellIs" dxfId="18" priority="12" operator="notBetween">
      <formula>IF(C36&lt;=80,-10.5%,IF(C36&lt;250,-7.5%,-5.5%))</formula>
      <formula>IF(C36&lt;=80,10.5%, IF(C36&lt;250,7.5%, C36*5.5%))</formula>
    </cfRule>
  </conditionalFormatting>
  <conditionalFormatting sqref="D26">
    <cfRule type="cellIs" dxfId="17" priority="13" operator="notBetween">
      <formula>IF(C36&lt;=80,-10.5%,IF(C36&lt;250,-7.5%,-5.5%))</formula>
      <formula>IF(C36&lt;=80,10.5%, IF(C36&lt;250,7.5%, C36*5.5%))</formula>
    </cfRule>
  </conditionalFormatting>
  <conditionalFormatting sqref="D27">
    <cfRule type="cellIs" dxfId="16" priority="14" operator="notBetween">
      <formula>IF(C36&lt;=80,-10.5%,IF(C36&lt;250,-7.5%,-5.5%))</formula>
      <formula>IF(C36&lt;=80,10.5%, IF(C36&lt;250,7.5%, C36*5.5%))</formula>
    </cfRule>
  </conditionalFormatting>
  <conditionalFormatting sqref="D28">
    <cfRule type="cellIs" dxfId="15" priority="15" operator="notBetween">
      <formula>IF(C36&lt;=80,-10.5%,IF(C36&lt;250,-7.5%,-5.5%))</formula>
      <formula>IF(C36&lt;=80,10.5%, IF(C36&lt;250,7.5%, C36*5.5%))</formula>
    </cfRule>
  </conditionalFormatting>
  <conditionalFormatting sqref="D29">
    <cfRule type="cellIs" dxfId="14" priority="16" operator="notBetween">
      <formula>IF(C36&lt;=80,-10.5%,IF(C36&lt;250,-7.5%,-5.5%))</formula>
      <formula>IF(C36&lt;=80,10.5%, IF(C36&lt;250,7.5%, C36*5.5%))</formula>
    </cfRule>
  </conditionalFormatting>
  <conditionalFormatting sqref="D30">
    <cfRule type="cellIs" dxfId="13" priority="17" operator="notBetween">
      <formula>IF(C36&lt;=80,-10.5%,IF(C36&lt;250,-7.5%,-5.5%))</formula>
      <formula>IF(C36&lt;=80,10.5%, IF(C36&lt;250,7.5%, C36*5.5%))</formula>
    </cfRule>
  </conditionalFormatting>
  <conditionalFormatting sqref="D31">
    <cfRule type="cellIs" dxfId="12" priority="18" operator="notBetween">
      <formula>IF(C36&lt;=80,-10.5%,IF(C36&lt;250,-7.5%,-5.5%))</formula>
      <formula>IF(C36&lt;=80,10.5%, IF(C36&lt;250,7.5%, C36*5.5%))</formula>
    </cfRule>
  </conditionalFormatting>
  <conditionalFormatting sqref="D32">
    <cfRule type="cellIs" dxfId="11" priority="19" operator="notBetween">
      <formula>IF(C36&lt;=80,-10.5%,IF(C36&lt;250,-7.5%,-5.5%))</formula>
      <formula>IF(C36&lt;=80,10.5%, IF(C36&lt;250,7.5%, C36*5.5%))</formula>
    </cfRule>
  </conditionalFormatting>
  <conditionalFormatting sqref="D33">
    <cfRule type="cellIs" dxfId="10" priority="20" operator="notBetween">
      <formula>IF(C36&lt;=80,-10.5%,IF(C36&lt;250,-7.5%,-5.5%))</formula>
      <formula>IF(C36&lt;=80,10.5%, IF(C36&lt;250,7.5%, C36*5.5%))</formula>
    </cfRule>
  </conditionalFormatting>
  <conditionalFormatting sqref="D34">
    <cfRule type="cellIs" dxfId="9" priority="21" operator="notBetween">
      <formula>IF(C36&lt;=80,-10.5%,IF(C36&lt;250,-7.5%,-5.5%))</formula>
      <formula>IF(C36&lt;=80,10.5%, IF(C36&lt;250,7.5%, C36*5.5%))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45" zoomScale="30" zoomScaleNormal="60" zoomScaleSheetLayoutView="30" zoomScalePageLayoutView="55" workbookViewId="0">
      <selection activeCell="H76" sqref="H7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3" t="s">
        <v>44</v>
      </c>
      <c r="B1" s="313"/>
      <c r="C1" s="313"/>
      <c r="D1" s="313"/>
      <c r="E1" s="313"/>
      <c r="F1" s="313"/>
      <c r="G1" s="313"/>
      <c r="H1" s="313"/>
      <c r="I1" s="313"/>
    </row>
    <row r="2" spans="1:9" ht="18.75" customHeight="1" x14ac:dyDescent="0.25">
      <c r="A2" s="313"/>
      <c r="B2" s="313"/>
      <c r="C2" s="313"/>
      <c r="D2" s="313"/>
      <c r="E2" s="313"/>
      <c r="F2" s="313"/>
      <c r="G2" s="313"/>
      <c r="H2" s="313"/>
      <c r="I2" s="313"/>
    </row>
    <row r="3" spans="1:9" ht="18.75" customHeight="1" x14ac:dyDescent="0.25">
      <c r="A3" s="313"/>
      <c r="B3" s="313"/>
      <c r="C3" s="313"/>
      <c r="D3" s="313"/>
      <c r="E3" s="313"/>
      <c r="F3" s="313"/>
      <c r="G3" s="313"/>
      <c r="H3" s="313"/>
      <c r="I3" s="313"/>
    </row>
    <row r="4" spans="1:9" ht="18.75" customHeight="1" x14ac:dyDescent="0.25">
      <c r="A4" s="313"/>
      <c r="B4" s="313"/>
      <c r="C4" s="313"/>
      <c r="D4" s="313"/>
      <c r="E4" s="313"/>
      <c r="F4" s="313"/>
      <c r="G4" s="313"/>
      <c r="H4" s="313"/>
      <c r="I4" s="313"/>
    </row>
    <row r="5" spans="1:9" ht="18.75" customHeight="1" x14ac:dyDescent="0.25">
      <c r="A5" s="313"/>
      <c r="B5" s="313"/>
      <c r="C5" s="313"/>
      <c r="D5" s="313"/>
      <c r="E5" s="313"/>
      <c r="F5" s="313"/>
      <c r="G5" s="313"/>
      <c r="H5" s="313"/>
      <c r="I5" s="313"/>
    </row>
    <row r="6" spans="1:9" ht="18.75" customHeight="1" x14ac:dyDescent="0.25">
      <c r="A6" s="313"/>
      <c r="B6" s="313"/>
      <c r="C6" s="313"/>
      <c r="D6" s="313"/>
      <c r="E6" s="313"/>
      <c r="F6" s="313"/>
      <c r="G6" s="313"/>
      <c r="H6" s="313"/>
      <c r="I6" s="313"/>
    </row>
    <row r="7" spans="1:9" ht="18.75" customHeight="1" x14ac:dyDescent="0.25">
      <c r="A7" s="313"/>
      <c r="B7" s="313"/>
      <c r="C7" s="313"/>
      <c r="D7" s="313"/>
      <c r="E7" s="313"/>
      <c r="F7" s="313"/>
      <c r="G7" s="313"/>
      <c r="H7" s="313"/>
      <c r="I7" s="313"/>
    </row>
    <row r="8" spans="1:9" x14ac:dyDescent="0.25">
      <c r="A8" s="314" t="s">
        <v>45</v>
      </c>
      <c r="B8" s="314"/>
      <c r="C8" s="314"/>
      <c r="D8" s="314"/>
      <c r="E8" s="314"/>
      <c r="F8" s="314"/>
      <c r="G8" s="314"/>
      <c r="H8" s="314"/>
      <c r="I8" s="314"/>
    </row>
    <row r="9" spans="1:9" x14ac:dyDescent="0.25">
      <c r="A9" s="314"/>
      <c r="B9" s="314"/>
      <c r="C9" s="314"/>
      <c r="D9" s="314"/>
      <c r="E9" s="314"/>
      <c r="F9" s="314"/>
      <c r="G9" s="314"/>
      <c r="H9" s="314"/>
      <c r="I9" s="314"/>
    </row>
    <row r="10" spans="1:9" x14ac:dyDescent="0.25">
      <c r="A10" s="314"/>
      <c r="B10" s="314"/>
      <c r="C10" s="314"/>
      <c r="D10" s="314"/>
      <c r="E10" s="314"/>
      <c r="F10" s="314"/>
      <c r="G10" s="314"/>
      <c r="H10" s="314"/>
      <c r="I10" s="314"/>
    </row>
    <row r="11" spans="1:9" x14ac:dyDescent="0.25">
      <c r="A11" s="314"/>
      <c r="B11" s="314"/>
      <c r="C11" s="314"/>
      <c r="D11" s="314"/>
      <c r="E11" s="314"/>
      <c r="F11" s="314"/>
      <c r="G11" s="314"/>
      <c r="H11" s="314"/>
      <c r="I11" s="314"/>
    </row>
    <row r="12" spans="1:9" x14ac:dyDescent="0.25">
      <c r="A12" s="314"/>
      <c r="B12" s="314"/>
      <c r="C12" s="314"/>
      <c r="D12" s="314"/>
      <c r="E12" s="314"/>
      <c r="F12" s="314"/>
      <c r="G12" s="314"/>
      <c r="H12" s="314"/>
      <c r="I12" s="314"/>
    </row>
    <row r="13" spans="1:9" x14ac:dyDescent="0.25">
      <c r="A13" s="314"/>
      <c r="B13" s="314"/>
      <c r="C13" s="314"/>
      <c r="D13" s="314"/>
      <c r="E13" s="314"/>
      <c r="F13" s="314"/>
      <c r="G13" s="314"/>
      <c r="H13" s="314"/>
      <c r="I13" s="314"/>
    </row>
    <row r="14" spans="1:9" x14ac:dyDescent="0.25">
      <c r="A14" s="314"/>
      <c r="B14" s="314"/>
      <c r="C14" s="314"/>
      <c r="D14" s="314"/>
      <c r="E14" s="314"/>
      <c r="F14" s="314"/>
      <c r="G14" s="314"/>
      <c r="H14" s="314"/>
      <c r="I14" s="314"/>
    </row>
    <row r="15" spans="1:9" ht="19.5" customHeight="1" x14ac:dyDescent="0.3">
      <c r="A15" s="92"/>
    </row>
    <row r="16" spans="1:9" ht="19.5" customHeight="1" x14ac:dyDescent="0.3">
      <c r="A16" s="286" t="s">
        <v>30</v>
      </c>
      <c r="B16" s="287"/>
      <c r="C16" s="287"/>
      <c r="D16" s="287"/>
      <c r="E16" s="287"/>
      <c r="F16" s="287"/>
      <c r="G16" s="287"/>
      <c r="H16" s="288"/>
    </row>
    <row r="17" spans="1:14" ht="20.25" customHeight="1" x14ac:dyDescent="0.25">
      <c r="A17" s="289" t="s">
        <v>46</v>
      </c>
      <c r="B17" s="289"/>
      <c r="C17" s="289"/>
      <c r="D17" s="289"/>
      <c r="E17" s="289"/>
      <c r="F17" s="289"/>
      <c r="G17" s="289"/>
      <c r="H17" s="289"/>
    </row>
    <row r="18" spans="1:14" ht="26.25" customHeight="1" x14ac:dyDescent="0.4">
      <c r="A18" s="94" t="s">
        <v>32</v>
      </c>
      <c r="B18" s="285" t="s">
        <v>5</v>
      </c>
      <c r="C18" s="285"/>
      <c r="D18" s="261"/>
      <c r="E18" s="95"/>
      <c r="F18" s="96"/>
      <c r="G18" s="96"/>
      <c r="H18" s="96"/>
    </row>
    <row r="19" spans="1:14" ht="26.25" customHeight="1" x14ac:dyDescent="0.4">
      <c r="A19" s="94" t="s">
        <v>33</v>
      </c>
      <c r="B19" s="97" t="s">
        <v>7</v>
      </c>
      <c r="C19" s="274">
        <v>29</v>
      </c>
      <c r="D19" s="96"/>
      <c r="E19" s="96"/>
      <c r="F19" s="96"/>
      <c r="G19" s="96"/>
      <c r="H19" s="96"/>
    </row>
    <row r="20" spans="1:14" ht="26.25" customHeight="1" x14ac:dyDescent="0.4">
      <c r="A20" s="94" t="s">
        <v>34</v>
      </c>
      <c r="B20" s="290" t="s">
        <v>9</v>
      </c>
      <c r="C20" s="290"/>
      <c r="D20" s="96"/>
      <c r="E20" s="96"/>
      <c r="F20" s="96"/>
      <c r="G20" s="96"/>
      <c r="H20" s="96"/>
    </row>
    <row r="21" spans="1:14" ht="26.25" customHeight="1" x14ac:dyDescent="0.4">
      <c r="A21" s="94" t="s">
        <v>35</v>
      </c>
      <c r="B21" s="290" t="s">
        <v>11</v>
      </c>
      <c r="C21" s="290"/>
      <c r="D21" s="290"/>
      <c r="E21" s="290"/>
      <c r="F21" s="290"/>
      <c r="G21" s="290"/>
      <c r="H21" s="290"/>
      <c r="I21" s="98"/>
    </row>
    <row r="22" spans="1:14" ht="26.25" customHeight="1" x14ac:dyDescent="0.4">
      <c r="A22" s="94" t="s">
        <v>36</v>
      </c>
      <c r="B22" s="99">
        <v>42388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4" t="s">
        <v>37</v>
      </c>
      <c r="B23" s="99">
        <v>42398</v>
      </c>
      <c r="C23" s="96"/>
      <c r="D23" s="96"/>
      <c r="E23" s="96"/>
      <c r="F23" s="96"/>
      <c r="G23" s="96"/>
      <c r="H23" s="96"/>
    </row>
    <row r="24" spans="1:14" ht="18.75" x14ac:dyDescent="0.3">
      <c r="A24" s="94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4</v>
      </c>
      <c r="B26" s="330" t="s">
        <v>9</v>
      </c>
      <c r="C26" s="285"/>
    </row>
    <row r="27" spans="1:14" ht="26.25" customHeight="1" x14ac:dyDescent="0.4">
      <c r="A27" s="103" t="s">
        <v>47</v>
      </c>
      <c r="B27" s="331" t="s">
        <v>126</v>
      </c>
      <c r="C27" s="291"/>
    </row>
    <row r="28" spans="1:14" ht="27" customHeight="1" x14ac:dyDescent="0.4">
      <c r="A28" s="103" t="s">
        <v>6</v>
      </c>
      <c r="B28" s="104">
        <v>93.77</v>
      </c>
    </row>
    <row r="29" spans="1:14" s="13" customFormat="1" ht="27" customHeight="1" x14ac:dyDescent="0.4">
      <c r="A29" s="103" t="s">
        <v>48</v>
      </c>
      <c r="B29" s="105"/>
      <c r="C29" s="292" t="s">
        <v>49</v>
      </c>
      <c r="D29" s="293"/>
      <c r="E29" s="293"/>
      <c r="F29" s="293"/>
      <c r="G29" s="294"/>
      <c r="I29" s="106"/>
      <c r="J29" s="106"/>
      <c r="K29" s="106"/>
      <c r="L29" s="106"/>
    </row>
    <row r="30" spans="1:14" s="13" customFormat="1" ht="19.5" customHeight="1" x14ac:dyDescent="0.3">
      <c r="A30" s="103" t="s">
        <v>50</v>
      </c>
      <c r="B30" s="107">
        <f>B28-B29</f>
        <v>93.77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13" customFormat="1" ht="27" customHeight="1" x14ac:dyDescent="0.4">
      <c r="A31" s="103" t="s">
        <v>51</v>
      </c>
      <c r="B31" s="110">
        <v>427.45800000000003</v>
      </c>
      <c r="C31" s="295" t="s">
        <v>52</v>
      </c>
      <c r="D31" s="296"/>
      <c r="E31" s="296"/>
      <c r="F31" s="296"/>
      <c r="G31" s="296"/>
      <c r="H31" s="297"/>
      <c r="I31" s="106"/>
      <c r="J31" s="106"/>
      <c r="K31" s="106"/>
      <c r="L31" s="106"/>
    </row>
    <row r="32" spans="1:14" s="13" customFormat="1" ht="27" customHeight="1" x14ac:dyDescent="0.4">
      <c r="A32" s="103" t="s">
        <v>53</v>
      </c>
      <c r="B32" s="110">
        <v>557.59717999999998</v>
      </c>
      <c r="C32" s="295" t="s">
        <v>54</v>
      </c>
      <c r="D32" s="296"/>
      <c r="E32" s="296"/>
      <c r="F32" s="296"/>
      <c r="G32" s="296"/>
      <c r="H32" s="297"/>
      <c r="I32" s="106"/>
      <c r="J32" s="106"/>
      <c r="K32" s="106"/>
      <c r="L32" s="111"/>
      <c r="M32" s="111"/>
      <c r="N32" s="112"/>
    </row>
    <row r="33" spans="1:14" s="13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13" customFormat="1" ht="18.75" x14ac:dyDescent="0.3">
      <c r="A34" s="103" t="s">
        <v>55</v>
      </c>
      <c r="B34" s="115">
        <f>B31/B32</f>
        <v>0.76660717688708546</v>
      </c>
      <c r="C34" s="93" t="s">
        <v>56</v>
      </c>
      <c r="D34" s="93"/>
      <c r="E34" s="93"/>
      <c r="F34" s="93"/>
      <c r="G34" s="93"/>
      <c r="I34" s="106"/>
      <c r="J34" s="106"/>
      <c r="K34" s="106"/>
      <c r="L34" s="111"/>
      <c r="M34" s="111"/>
      <c r="N34" s="112"/>
    </row>
    <row r="35" spans="1:14" s="13" customFormat="1" ht="19.5" customHeight="1" x14ac:dyDescent="0.3">
      <c r="A35" s="103"/>
      <c r="B35" s="107"/>
      <c r="G35" s="93"/>
      <c r="I35" s="106"/>
      <c r="J35" s="106"/>
      <c r="K35" s="106"/>
      <c r="L35" s="111"/>
      <c r="M35" s="111"/>
      <c r="N35" s="112"/>
    </row>
    <row r="36" spans="1:14" s="13" customFormat="1" ht="27" customHeight="1" x14ac:dyDescent="0.4">
      <c r="A36" s="116" t="s">
        <v>57</v>
      </c>
      <c r="B36" s="117">
        <v>50</v>
      </c>
      <c r="C36" s="93"/>
      <c r="D36" s="298" t="s">
        <v>58</v>
      </c>
      <c r="E36" s="299"/>
      <c r="F36" s="298" t="s">
        <v>59</v>
      </c>
      <c r="G36" s="300"/>
      <c r="J36" s="106"/>
      <c r="K36" s="106"/>
      <c r="L36" s="111"/>
      <c r="M36" s="111"/>
      <c r="N36" s="112"/>
    </row>
    <row r="37" spans="1:14" s="13" customFormat="1" ht="27" customHeight="1" x14ac:dyDescent="0.4">
      <c r="A37" s="118" t="s">
        <v>60</v>
      </c>
      <c r="B37" s="119">
        <v>4</v>
      </c>
      <c r="C37" s="120" t="s">
        <v>61</v>
      </c>
      <c r="D37" s="121" t="s">
        <v>62</v>
      </c>
      <c r="E37" s="122" t="s">
        <v>63</v>
      </c>
      <c r="F37" s="121" t="s">
        <v>62</v>
      </c>
      <c r="G37" s="123" t="s">
        <v>63</v>
      </c>
      <c r="I37" s="124" t="s">
        <v>64</v>
      </c>
      <c r="J37" s="106"/>
      <c r="K37" s="106"/>
      <c r="L37" s="111"/>
      <c r="M37" s="111"/>
      <c r="N37" s="112"/>
    </row>
    <row r="38" spans="1:14" s="13" customFormat="1" ht="26.25" customHeight="1" x14ac:dyDescent="0.4">
      <c r="A38" s="118" t="s">
        <v>65</v>
      </c>
      <c r="B38" s="119">
        <v>50</v>
      </c>
      <c r="C38" s="125">
        <v>1</v>
      </c>
      <c r="D38" s="332">
        <f>3418990+3466802</f>
        <v>6885792</v>
      </c>
      <c r="E38" s="127">
        <f>IF(ISBLANK(D38),"-",$D$48/$D$45*D38)</f>
        <v>7926298.9504201822</v>
      </c>
      <c r="F38" s="332">
        <f>3080545+3119840</f>
        <v>6200385</v>
      </c>
      <c r="G38" s="128">
        <f>IF(ISBLANK(F38),"-",$D$48/$F$45*F38)</f>
        <v>7906005.4538516011</v>
      </c>
      <c r="I38" s="129"/>
      <c r="J38" s="106"/>
      <c r="K38" s="106"/>
      <c r="L38" s="111"/>
      <c r="M38" s="111"/>
      <c r="N38" s="112"/>
    </row>
    <row r="39" spans="1:14" s="13" customFormat="1" ht="26.25" customHeight="1" x14ac:dyDescent="0.4">
      <c r="A39" s="118" t="s">
        <v>66</v>
      </c>
      <c r="B39" s="119">
        <v>1</v>
      </c>
      <c r="C39" s="130">
        <v>2</v>
      </c>
      <c r="D39" s="333">
        <f>3426371+3471346</f>
        <v>6897717</v>
      </c>
      <c r="E39" s="132">
        <f>IF(ISBLANK(D39),"-",$D$48/$D$45*D39)</f>
        <v>7940025.9283747533</v>
      </c>
      <c r="F39" s="333">
        <f>3081346+3178391</f>
        <v>6259737</v>
      </c>
      <c r="G39" s="133">
        <f>IF(ISBLANK(F39),"-",$D$48/$F$45*F39)</f>
        <v>7981684.1795592792</v>
      </c>
      <c r="I39" s="302">
        <f>ABS((F43/D43*D42)-F42)/D42</f>
        <v>5.6887134209017125E-3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67</v>
      </c>
      <c r="B40" s="119">
        <v>1</v>
      </c>
      <c r="C40" s="130">
        <v>3</v>
      </c>
      <c r="D40" s="333">
        <f>3443689+3488614</f>
        <v>6932303</v>
      </c>
      <c r="E40" s="132">
        <f>IF(ISBLANK(D40),"-",$D$48/$D$45*D40)</f>
        <v>7979838.1933254274</v>
      </c>
      <c r="F40" s="333">
        <f>3115295+3244085</f>
        <v>6359380</v>
      </c>
      <c r="G40" s="133">
        <f>IF(ISBLANK(F40),"-",$D$48/$F$45*F40)</f>
        <v>8108737.2740748832</v>
      </c>
      <c r="I40" s="302"/>
      <c r="L40" s="111"/>
      <c r="M40" s="111"/>
      <c r="N40" s="134"/>
    </row>
    <row r="41" spans="1:14" ht="27" customHeight="1" x14ac:dyDescent="0.4">
      <c r="A41" s="118" t="s">
        <v>68</v>
      </c>
      <c r="B41" s="119">
        <v>1</v>
      </c>
      <c r="C41" s="135">
        <v>4</v>
      </c>
      <c r="D41" s="136"/>
      <c r="E41" s="137" t="str">
        <f>IF(ISBLANK(D41),"-",$D$48/$D$45*D41)</f>
        <v>-</v>
      </c>
      <c r="F41" s="136"/>
      <c r="G41" s="138" t="str">
        <f>IF(ISBLANK(F41),"-",$D$48/$F$45*F41)</f>
        <v>-</v>
      </c>
      <c r="I41" s="139"/>
      <c r="L41" s="111"/>
      <c r="M41" s="111"/>
      <c r="N41" s="134"/>
    </row>
    <row r="42" spans="1:14" ht="27" customHeight="1" x14ac:dyDescent="0.4">
      <c r="A42" s="118" t="s">
        <v>69</v>
      </c>
      <c r="B42" s="119">
        <v>1</v>
      </c>
      <c r="C42" s="140" t="s">
        <v>70</v>
      </c>
      <c r="D42" s="141">
        <f>AVERAGE(D38:D41)</f>
        <v>6905270.666666667</v>
      </c>
      <c r="E42" s="142">
        <f>AVERAGE(E38:E41)</f>
        <v>7948721.0240401207</v>
      </c>
      <c r="F42" s="141">
        <f>AVERAGE(F38:F41)</f>
        <v>6273167.333333333</v>
      </c>
      <c r="G42" s="143">
        <f>AVERAGE(G38:G41)</f>
        <v>7998808.9691619212</v>
      </c>
      <c r="H42" s="144"/>
    </row>
    <row r="43" spans="1:14" ht="26.25" customHeight="1" x14ac:dyDescent="0.4">
      <c r="A43" s="118" t="s">
        <v>71</v>
      </c>
      <c r="B43" s="119">
        <v>1</v>
      </c>
      <c r="C43" s="145" t="s">
        <v>72</v>
      </c>
      <c r="D43" s="146">
        <v>24.17</v>
      </c>
      <c r="E43" s="134"/>
      <c r="F43" s="146">
        <v>21.82</v>
      </c>
      <c r="H43" s="144"/>
    </row>
    <row r="44" spans="1:14" ht="26.25" customHeight="1" x14ac:dyDescent="0.4">
      <c r="A44" s="118" t="s">
        <v>73</v>
      </c>
      <c r="B44" s="119">
        <v>1</v>
      </c>
      <c r="C44" s="147" t="s">
        <v>74</v>
      </c>
      <c r="D44" s="148">
        <f>D43*$B$34</f>
        <v>18.528895465360858</v>
      </c>
      <c r="E44" s="149"/>
      <c r="F44" s="148">
        <f>F43*$B$34</f>
        <v>16.727368599676204</v>
      </c>
      <c r="H44" s="144"/>
    </row>
    <row r="45" spans="1:14" ht="19.5" customHeight="1" x14ac:dyDescent="0.3">
      <c r="A45" s="118" t="s">
        <v>75</v>
      </c>
      <c r="B45" s="150">
        <f>(B44/B43)*(B42/B41)*(B40/B39)*(B38/B37)*B36</f>
        <v>625</v>
      </c>
      <c r="C45" s="147" t="s">
        <v>76</v>
      </c>
      <c r="D45" s="151">
        <f>D44*$B$30/100</f>
        <v>17.374545277868876</v>
      </c>
      <c r="E45" s="152"/>
      <c r="F45" s="151">
        <f>F44*$B$30/100</f>
        <v>15.685253535916377</v>
      </c>
      <c r="H45" s="144"/>
    </row>
    <row r="46" spans="1:14" ht="19.5" customHeight="1" x14ac:dyDescent="0.3">
      <c r="A46" s="303" t="s">
        <v>77</v>
      </c>
      <c r="B46" s="304"/>
      <c r="C46" s="147" t="s">
        <v>78</v>
      </c>
      <c r="D46" s="153">
        <f>D45/$B$45</f>
        <v>2.7799272444590201E-2</v>
      </c>
      <c r="E46" s="154"/>
      <c r="F46" s="155">
        <f>F45/$B$45</f>
        <v>2.5096405657466205E-2</v>
      </c>
      <c r="H46" s="144"/>
    </row>
    <row r="47" spans="1:14" ht="27" customHeight="1" x14ac:dyDescent="0.4">
      <c r="A47" s="305"/>
      <c r="B47" s="306"/>
      <c r="C47" s="156" t="s">
        <v>79</v>
      </c>
      <c r="D47" s="157">
        <v>3.2000000000000001E-2</v>
      </c>
      <c r="E47" s="158"/>
      <c r="F47" s="154"/>
      <c r="H47" s="144"/>
    </row>
    <row r="48" spans="1:14" ht="18.75" x14ac:dyDescent="0.3">
      <c r="C48" s="159" t="s">
        <v>80</v>
      </c>
      <c r="D48" s="151">
        <f>D47*$B$45</f>
        <v>20</v>
      </c>
      <c r="F48" s="160"/>
      <c r="H48" s="144"/>
    </row>
    <row r="49" spans="1:12" ht="19.5" customHeight="1" x14ac:dyDescent="0.3">
      <c r="C49" s="161" t="s">
        <v>81</v>
      </c>
      <c r="D49" s="162">
        <f>D48/B34</f>
        <v>26.088980905726409</v>
      </c>
      <c r="F49" s="160"/>
      <c r="H49" s="144"/>
    </row>
    <row r="50" spans="1:12" ht="18.75" x14ac:dyDescent="0.3">
      <c r="C50" s="116" t="s">
        <v>82</v>
      </c>
      <c r="D50" s="163">
        <f>AVERAGE(E38:E41,G38:G41)</f>
        <v>7973764.99660102</v>
      </c>
      <c r="F50" s="164"/>
      <c r="H50" s="144"/>
    </row>
    <row r="51" spans="1:12" ht="18.75" x14ac:dyDescent="0.3">
      <c r="C51" s="118" t="s">
        <v>83</v>
      </c>
      <c r="D51" s="165">
        <f>STDEV(E38:E41,G38:G41)/D50</f>
        <v>9.0955285983674358E-3</v>
      </c>
      <c r="F51" s="164"/>
      <c r="H51" s="144"/>
    </row>
    <row r="52" spans="1:12" ht="19.5" customHeight="1" x14ac:dyDescent="0.3">
      <c r="C52" s="166" t="s">
        <v>20</v>
      </c>
      <c r="D52" s="167">
        <f>COUNT(E38:E41,G38:G41)</f>
        <v>6</v>
      </c>
      <c r="F52" s="164"/>
    </row>
    <row r="54" spans="1:12" ht="18.75" x14ac:dyDescent="0.3">
      <c r="A54" s="168" t="s">
        <v>1</v>
      </c>
      <c r="B54" s="169" t="s">
        <v>84</v>
      </c>
    </row>
    <row r="55" spans="1:12" ht="18.75" x14ac:dyDescent="0.3">
      <c r="A55" s="93" t="s">
        <v>85</v>
      </c>
      <c r="B55" s="170" t="str">
        <f>B21</f>
        <v>Each uncoated dispersible tablet contains: Cefpodoxime Proxetil USP eq. to Cefpodoxime 100mg</v>
      </c>
    </row>
    <row r="56" spans="1:12" ht="26.25" customHeight="1" x14ac:dyDescent="0.4">
      <c r="A56" s="171" t="s">
        <v>86</v>
      </c>
      <c r="B56" s="172">
        <v>100</v>
      </c>
      <c r="C56" s="93" t="str">
        <f>B20</f>
        <v>Cefpodoxime Proxetil</v>
      </c>
      <c r="H56" s="173"/>
    </row>
    <row r="57" spans="1:12" ht="18.75" x14ac:dyDescent="0.3">
      <c r="A57" s="170" t="s">
        <v>87</v>
      </c>
      <c r="B57" s="262">
        <f>Uniformity!C36</f>
        <v>291.61900000000003</v>
      </c>
      <c r="H57" s="173"/>
    </row>
    <row r="58" spans="1:12" ht="19.5" customHeight="1" x14ac:dyDescent="0.3">
      <c r="H58" s="173"/>
    </row>
    <row r="59" spans="1:12" s="13" customFormat="1" ht="27" customHeight="1" x14ac:dyDescent="0.4">
      <c r="A59" s="116" t="s">
        <v>88</v>
      </c>
      <c r="B59" s="117">
        <v>100</v>
      </c>
      <c r="C59" s="93"/>
      <c r="D59" s="174" t="s">
        <v>89</v>
      </c>
      <c r="E59" s="175" t="s">
        <v>61</v>
      </c>
      <c r="F59" s="175" t="s">
        <v>62</v>
      </c>
      <c r="G59" s="175" t="s">
        <v>90</v>
      </c>
      <c r="H59" s="120" t="s">
        <v>91</v>
      </c>
      <c r="L59" s="106"/>
    </row>
    <row r="60" spans="1:12" s="13" customFormat="1" ht="26.25" customHeight="1" x14ac:dyDescent="0.4">
      <c r="A60" s="118" t="s">
        <v>92</v>
      </c>
      <c r="B60" s="119">
        <v>4</v>
      </c>
      <c r="C60" s="307" t="s">
        <v>93</v>
      </c>
      <c r="D60" s="310">
        <v>184.44</v>
      </c>
      <c r="E60" s="176">
        <v>1</v>
      </c>
      <c r="F60" s="177">
        <f>3131009+3070837</f>
        <v>6201846</v>
      </c>
      <c r="G60" s="263">
        <f>IF(ISBLANK(F60),"-",(F60/$D$50*$D$47*$B$68)*($B$57/$D$60))</f>
        <v>98.380321120907837</v>
      </c>
      <c r="H60" s="178">
        <f t="shared" ref="H60:H71" si="0">IF(ISBLANK(F60),"-",G60/$B$56)</f>
        <v>0.98380321120907832</v>
      </c>
      <c r="L60" s="106"/>
    </row>
    <row r="61" spans="1:12" s="13" customFormat="1" ht="26.25" customHeight="1" x14ac:dyDescent="0.4">
      <c r="A61" s="118" t="s">
        <v>94</v>
      </c>
      <c r="B61" s="119">
        <v>100</v>
      </c>
      <c r="C61" s="308"/>
      <c r="D61" s="311"/>
      <c r="E61" s="179">
        <v>2</v>
      </c>
      <c r="F61" s="131">
        <f>3128791+3042145</f>
        <v>6170936</v>
      </c>
      <c r="G61" s="264">
        <f>IF(ISBLANK(F61),"-",(F61/$D$50*$D$47*$B$68)*($B$57/$D$60))</f>
        <v>97.889993607801685</v>
      </c>
      <c r="H61" s="180">
        <f t="shared" si="0"/>
        <v>0.97889993607801684</v>
      </c>
      <c r="L61" s="106"/>
    </row>
    <row r="62" spans="1:12" s="13" customFormat="1" ht="26.25" customHeight="1" x14ac:dyDescent="0.4">
      <c r="A62" s="118" t="s">
        <v>95</v>
      </c>
      <c r="B62" s="119">
        <v>1</v>
      </c>
      <c r="C62" s="308"/>
      <c r="D62" s="311"/>
      <c r="E62" s="179">
        <v>3</v>
      </c>
      <c r="F62" s="181">
        <f>3129349+3065575</f>
        <v>6194924</v>
      </c>
      <c r="G62" s="264">
        <f>IF(ISBLANK(F62),"-",(F62/$D$50*$D$47*$B$68)*($B$57/$D$60))</f>
        <v>98.270516946022013</v>
      </c>
      <c r="H62" s="180">
        <f t="shared" si="0"/>
        <v>0.98270516946022013</v>
      </c>
      <c r="L62" s="106"/>
    </row>
    <row r="63" spans="1:12" ht="27" customHeight="1" x14ac:dyDescent="0.4">
      <c r="A63" s="118" t="s">
        <v>96</v>
      </c>
      <c r="B63" s="119">
        <v>1</v>
      </c>
      <c r="C63" s="309"/>
      <c r="D63" s="312"/>
      <c r="E63" s="182">
        <v>4</v>
      </c>
      <c r="F63" s="183"/>
      <c r="G63" s="264" t="str">
        <f>IF(ISBLANK(F63),"-",(F63/$D$50*$D$47*$B$68)*($B$57/$D$60))</f>
        <v>-</v>
      </c>
      <c r="H63" s="180" t="str">
        <f t="shared" si="0"/>
        <v>-</v>
      </c>
    </row>
    <row r="64" spans="1:12" ht="26.25" customHeight="1" x14ac:dyDescent="0.4">
      <c r="A64" s="118" t="s">
        <v>97</v>
      </c>
      <c r="B64" s="119">
        <v>1</v>
      </c>
      <c r="C64" s="307" t="s">
        <v>98</v>
      </c>
      <c r="D64" s="310">
        <v>183.57</v>
      </c>
      <c r="E64" s="176">
        <v>1</v>
      </c>
      <c r="F64" s="177">
        <f>3097631+3033900</f>
        <v>6131531</v>
      </c>
      <c r="G64" s="265">
        <f>IF(ISBLANK(F64),"-",(F64/$D$50*$D$47*$B$68)*($B$57/$D$64))</f>
        <v>97.725880443881422</v>
      </c>
      <c r="H64" s="184">
        <f t="shared" si="0"/>
        <v>0.97725880443881419</v>
      </c>
    </row>
    <row r="65" spans="1:8" ht="26.25" customHeight="1" x14ac:dyDescent="0.4">
      <c r="A65" s="118" t="s">
        <v>99</v>
      </c>
      <c r="B65" s="119">
        <v>1</v>
      </c>
      <c r="C65" s="308"/>
      <c r="D65" s="311"/>
      <c r="E65" s="179">
        <v>2</v>
      </c>
      <c r="F65" s="131">
        <f>3104311+3038766</f>
        <v>6143077</v>
      </c>
      <c r="G65" s="266">
        <f>IF(ISBLANK(F65),"-",(F65/$D$50*$D$47*$B$68)*($B$57/$D$64))</f>
        <v>97.9099034905895</v>
      </c>
      <c r="H65" s="185">
        <f t="shared" si="0"/>
        <v>0.979099034905895</v>
      </c>
    </row>
    <row r="66" spans="1:8" ht="26.25" customHeight="1" x14ac:dyDescent="0.4">
      <c r="A66" s="118" t="s">
        <v>100</v>
      </c>
      <c r="B66" s="119">
        <v>1</v>
      </c>
      <c r="C66" s="308"/>
      <c r="D66" s="311"/>
      <c r="E66" s="179">
        <v>3</v>
      </c>
      <c r="F66" s="131">
        <f>3110882+3047917</f>
        <v>6158799</v>
      </c>
      <c r="G66" s="266">
        <f>IF(ISBLANK(F66),"-",(F66/$D$50*$D$47*$B$68)*($B$57/$D$64))</f>
        <v>98.160484673713057</v>
      </c>
      <c r="H66" s="185">
        <f t="shared" si="0"/>
        <v>0.98160484673713055</v>
      </c>
    </row>
    <row r="67" spans="1:8" ht="27" customHeight="1" x14ac:dyDescent="0.4">
      <c r="A67" s="118" t="s">
        <v>101</v>
      </c>
      <c r="B67" s="119">
        <v>1</v>
      </c>
      <c r="C67" s="309"/>
      <c r="D67" s="312"/>
      <c r="E67" s="182">
        <v>4</v>
      </c>
      <c r="F67" s="183"/>
      <c r="G67" s="267" t="str">
        <f>IF(ISBLANK(F67),"-",(F67/$D$50*$D$47*$B$68)*($B$57/$D$64))</f>
        <v>-</v>
      </c>
      <c r="H67" s="186" t="str">
        <f t="shared" si="0"/>
        <v>-</v>
      </c>
    </row>
    <row r="68" spans="1:8" ht="26.25" customHeight="1" x14ac:dyDescent="0.4">
      <c r="A68" s="118" t="s">
        <v>102</v>
      </c>
      <c r="B68" s="187">
        <f>(B67/B66)*(B65/B64)*(B63/B62)*(B61/B60)*B59</f>
        <v>2500</v>
      </c>
      <c r="C68" s="307" t="s">
        <v>103</v>
      </c>
      <c r="D68" s="310">
        <v>184.44</v>
      </c>
      <c r="E68" s="176">
        <v>1</v>
      </c>
      <c r="F68" s="177">
        <f>3107688+3039727</f>
        <v>6147415</v>
      </c>
      <c r="G68" s="265">
        <f>IF(ISBLANK(F68),"-",(F68/$D$50*$D$47*$B$68)*($B$57/$D$68))</f>
        <v>97.516878323564583</v>
      </c>
      <c r="H68" s="180">
        <f t="shared" si="0"/>
        <v>0.97516878323564582</v>
      </c>
    </row>
    <row r="69" spans="1:8" ht="27" customHeight="1" x14ac:dyDescent="0.4">
      <c r="A69" s="166" t="s">
        <v>104</v>
      </c>
      <c r="B69" s="188">
        <f>(D47*B68)/B56*B57</f>
        <v>233.29520000000002</v>
      </c>
      <c r="C69" s="308"/>
      <c r="D69" s="311"/>
      <c r="E69" s="179">
        <v>2</v>
      </c>
      <c r="F69" s="131">
        <f>3104762+3038999</f>
        <v>6143761</v>
      </c>
      <c r="G69" s="266">
        <f>IF(ISBLANK(F69),"-",(F69/$D$50*$D$47*$B$68)*($B$57/$D$68))</f>
        <v>97.458914663490503</v>
      </c>
      <c r="H69" s="180">
        <f t="shared" si="0"/>
        <v>0.97458914663490503</v>
      </c>
    </row>
    <row r="70" spans="1:8" ht="26.25" customHeight="1" x14ac:dyDescent="0.4">
      <c r="A70" s="320" t="s">
        <v>77</v>
      </c>
      <c r="B70" s="321"/>
      <c r="C70" s="308"/>
      <c r="D70" s="311"/>
      <c r="E70" s="179">
        <v>3</v>
      </c>
      <c r="F70" s="131">
        <f>3098525+3035542</f>
        <v>6134067</v>
      </c>
      <c r="G70" s="266">
        <f>IF(ISBLANK(F70),"-",(F70/$D$50*$D$47*$B$68)*($B$57/$D$68))</f>
        <v>97.305138056824333</v>
      </c>
      <c r="H70" s="180">
        <f t="shared" si="0"/>
        <v>0.97305138056824336</v>
      </c>
    </row>
    <row r="71" spans="1:8" ht="27" customHeight="1" x14ac:dyDescent="0.4">
      <c r="A71" s="322"/>
      <c r="B71" s="323"/>
      <c r="C71" s="319"/>
      <c r="D71" s="312"/>
      <c r="E71" s="182">
        <v>4</v>
      </c>
      <c r="F71" s="183"/>
      <c r="G71" s="267" t="str">
        <f>IF(ISBLANK(F71),"-",(F71/$D$50*$D$47*$B$68)*($B$57/$D$68))</f>
        <v>-</v>
      </c>
      <c r="H71" s="189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70</v>
      </c>
      <c r="G72" s="272">
        <f>AVERAGE(G60:G71)</f>
        <v>97.846447925199442</v>
      </c>
      <c r="H72" s="193">
        <f>AVERAGE(H60:H71)</f>
        <v>0.97846447925199442</v>
      </c>
    </row>
    <row r="73" spans="1:8" ht="26.25" customHeight="1" x14ac:dyDescent="0.4">
      <c r="C73" s="190"/>
      <c r="D73" s="190"/>
      <c r="E73" s="190"/>
      <c r="F73" s="194" t="s">
        <v>83</v>
      </c>
      <c r="G73" s="268">
        <f>STDEV(G60:G71)/G72</f>
        <v>3.8507998655812896E-3</v>
      </c>
      <c r="H73" s="268">
        <f>STDEV(H60:H71)/H72</f>
        <v>3.8507998655812753E-3</v>
      </c>
    </row>
    <row r="74" spans="1:8" ht="27" customHeight="1" x14ac:dyDescent="0.4">
      <c r="A74" s="190"/>
      <c r="B74" s="190"/>
      <c r="C74" s="191"/>
      <c r="D74" s="191"/>
      <c r="E74" s="195"/>
      <c r="F74" s="196" t="s">
        <v>20</v>
      </c>
      <c r="G74" s="197">
        <f>COUNT(G60:G71)</f>
        <v>9</v>
      </c>
      <c r="H74" s="197">
        <f>COUNT(H60:H71)</f>
        <v>9</v>
      </c>
    </row>
    <row r="76" spans="1:8" ht="26.25" customHeight="1" x14ac:dyDescent="0.4">
      <c r="A76" s="102" t="s">
        <v>105</v>
      </c>
      <c r="B76" s="198" t="s">
        <v>106</v>
      </c>
      <c r="C76" s="315" t="str">
        <f>B20</f>
        <v>Cefpodoxime Proxetil</v>
      </c>
      <c r="D76" s="315"/>
      <c r="E76" s="199" t="s">
        <v>107</v>
      </c>
      <c r="F76" s="199"/>
      <c r="G76" s="200">
        <f>H72</f>
        <v>0.97846447925199442</v>
      </c>
      <c r="H76" s="201"/>
    </row>
    <row r="77" spans="1:8" ht="18.75" x14ac:dyDescent="0.3">
      <c r="A77" s="101" t="s">
        <v>108</v>
      </c>
      <c r="B77" s="101" t="s">
        <v>109</v>
      </c>
    </row>
    <row r="78" spans="1:8" ht="18.75" x14ac:dyDescent="0.3">
      <c r="A78" s="101"/>
      <c r="B78" s="101"/>
    </row>
    <row r="79" spans="1:8" ht="26.25" customHeight="1" x14ac:dyDescent="0.4">
      <c r="A79" s="102" t="s">
        <v>4</v>
      </c>
      <c r="B79" s="301" t="str">
        <f>B26</f>
        <v>Cefpodoxime Proxetil</v>
      </c>
      <c r="C79" s="301"/>
    </row>
    <row r="80" spans="1:8" ht="26.25" customHeight="1" x14ac:dyDescent="0.4">
      <c r="A80" s="103" t="s">
        <v>47</v>
      </c>
      <c r="B80" s="301" t="str">
        <f>B27</f>
        <v>C68-1</v>
      </c>
      <c r="C80" s="301"/>
    </row>
    <row r="81" spans="1:12" ht="27" customHeight="1" x14ac:dyDescent="0.4">
      <c r="A81" s="103" t="s">
        <v>6</v>
      </c>
      <c r="B81" s="202">
        <f>B28</f>
        <v>93.77</v>
      </c>
    </row>
    <row r="82" spans="1:12" s="13" customFormat="1" ht="27" customHeight="1" x14ac:dyDescent="0.4">
      <c r="A82" s="103" t="s">
        <v>48</v>
      </c>
      <c r="B82" s="105">
        <v>0</v>
      </c>
      <c r="C82" s="292" t="s">
        <v>49</v>
      </c>
      <c r="D82" s="293"/>
      <c r="E82" s="293"/>
      <c r="F82" s="293"/>
      <c r="G82" s="294"/>
      <c r="I82" s="106"/>
      <c r="J82" s="106"/>
      <c r="K82" s="106"/>
      <c r="L82" s="106"/>
    </row>
    <row r="83" spans="1:12" s="13" customFormat="1" ht="19.5" customHeight="1" x14ac:dyDescent="0.3">
      <c r="A83" s="103" t="s">
        <v>50</v>
      </c>
      <c r="B83" s="107">
        <f>B81-B82</f>
        <v>93.77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13" customFormat="1" ht="27" customHeight="1" x14ac:dyDescent="0.4">
      <c r="A84" s="103" t="s">
        <v>51</v>
      </c>
      <c r="B84" s="110">
        <v>427.45800000000003</v>
      </c>
      <c r="C84" s="295" t="s">
        <v>110</v>
      </c>
      <c r="D84" s="296"/>
      <c r="E84" s="296"/>
      <c r="F84" s="296"/>
      <c r="G84" s="296"/>
      <c r="H84" s="297"/>
      <c r="I84" s="106"/>
      <c r="J84" s="106"/>
      <c r="K84" s="106"/>
      <c r="L84" s="106"/>
    </row>
    <row r="85" spans="1:12" s="13" customFormat="1" ht="27" customHeight="1" x14ac:dyDescent="0.4">
      <c r="A85" s="103" t="s">
        <v>53</v>
      </c>
      <c r="B85" s="110">
        <v>557.59717999999998</v>
      </c>
      <c r="C85" s="295" t="s">
        <v>111</v>
      </c>
      <c r="D85" s="296"/>
      <c r="E85" s="296"/>
      <c r="F85" s="296"/>
      <c r="G85" s="296"/>
      <c r="H85" s="297"/>
      <c r="I85" s="106"/>
      <c r="J85" s="106"/>
      <c r="K85" s="106"/>
      <c r="L85" s="106"/>
    </row>
    <row r="86" spans="1:12" s="13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13" customFormat="1" ht="18.75" x14ac:dyDescent="0.3">
      <c r="A87" s="103" t="s">
        <v>55</v>
      </c>
      <c r="B87" s="115">
        <f>B84/B85</f>
        <v>0.76660717688708546</v>
      </c>
      <c r="C87" s="93" t="s">
        <v>56</v>
      </c>
      <c r="D87" s="93"/>
      <c r="E87" s="93"/>
      <c r="F87" s="93"/>
      <c r="G87" s="93"/>
      <c r="I87" s="106"/>
      <c r="J87" s="106"/>
      <c r="K87" s="106"/>
      <c r="L87" s="106"/>
    </row>
    <row r="88" spans="1:12" ht="19.5" customHeight="1" x14ac:dyDescent="0.3">
      <c r="A88" s="101"/>
      <c r="B88" s="101"/>
    </row>
    <row r="89" spans="1:12" ht="27" customHeight="1" x14ac:dyDescent="0.4">
      <c r="A89" s="116" t="s">
        <v>57</v>
      </c>
      <c r="B89" s="117">
        <v>1</v>
      </c>
      <c r="D89" s="203" t="s">
        <v>58</v>
      </c>
      <c r="E89" s="204"/>
      <c r="F89" s="298" t="s">
        <v>59</v>
      </c>
      <c r="G89" s="300"/>
    </row>
    <row r="90" spans="1:12" ht="27" customHeight="1" x14ac:dyDescent="0.4">
      <c r="A90" s="118" t="s">
        <v>60</v>
      </c>
      <c r="B90" s="119">
        <v>1</v>
      </c>
      <c r="C90" s="205" t="s">
        <v>61</v>
      </c>
      <c r="D90" s="121" t="s">
        <v>62</v>
      </c>
      <c r="E90" s="122" t="s">
        <v>63</v>
      </c>
      <c r="F90" s="121" t="s">
        <v>62</v>
      </c>
      <c r="G90" s="206" t="s">
        <v>63</v>
      </c>
      <c r="I90" s="124" t="s">
        <v>64</v>
      </c>
    </row>
    <row r="91" spans="1:12" ht="26.25" customHeight="1" x14ac:dyDescent="0.4">
      <c r="A91" s="118" t="s">
        <v>65</v>
      </c>
      <c r="B91" s="119">
        <v>1</v>
      </c>
      <c r="C91" s="207">
        <v>1</v>
      </c>
      <c r="D91" s="126"/>
      <c r="E91" s="127" t="str">
        <f>IF(ISBLANK(D91),"-",$D$101/$D$98*D91)</f>
        <v>-</v>
      </c>
      <c r="F91" s="126"/>
      <c r="G91" s="128" t="str">
        <f>IF(ISBLANK(F91),"-",$D$101/$F$98*F91)</f>
        <v>-</v>
      </c>
      <c r="I91" s="129"/>
    </row>
    <row r="92" spans="1:12" ht="26.25" customHeight="1" x14ac:dyDescent="0.4">
      <c r="A92" s="118" t="s">
        <v>66</v>
      </c>
      <c r="B92" s="119">
        <v>1</v>
      </c>
      <c r="C92" s="191">
        <v>2</v>
      </c>
      <c r="D92" s="131"/>
      <c r="E92" s="132" t="str">
        <f>IF(ISBLANK(D92),"-",$D$101/$D$98*D92)</f>
        <v>-</v>
      </c>
      <c r="F92" s="131"/>
      <c r="G92" s="133" t="str">
        <f>IF(ISBLANK(F92),"-",$D$101/$F$98*F92)</f>
        <v>-</v>
      </c>
      <c r="I92" s="302" t="e">
        <f>ABS((F96/D96*D95)-F95)/D95</f>
        <v>#DIV/0!</v>
      </c>
    </row>
    <row r="93" spans="1:12" ht="26.25" customHeight="1" x14ac:dyDescent="0.4">
      <c r="A93" s="118" t="s">
        <v>67</v>
      </c>
      <c r="B93" s="119">
        <v>1</v>
      </c>
      <c r="C93" s="191">
        <v>3</v>
      </c>
      <c r="D93" s="131"/>
      <c r="E93" s="132" t="str">
        <f>IF(ISBLANK(D93),"-",$D$101/$D$98*D93)</f>
        <v>-</v>
      </c>
      <c r="F93" s="131"/>
      <c r="G93" s="133" t="str">
        <f>IF(ISBLANK(F93),"-",$D$101/$F$98*F93)</f>
        <v>-</v>
      </c>
      <c r="I93" s="302"/>
    </row>
    <row r="94" spans="1:12" ht="27" customHeight="1" x14ac:dyDescent="0.4">
      <c r="A94" s="118" t="s">
        <v>68</v>
      </c>
      <c r="B94" s="119">
        <v>1</v>
      </c>
      <c r="C94" s="208">
        <v>4</v>
      </c>
      <c r="D94" s="136"/>
      <c r="E94" s="137" t="str">
        <f>IF(ISBLANK(D94),"-",$D$101/$D$98*D94)</f>
        <v>-</v>
      </c>
      <c r="F94" s="209"/>
      <c r="G94" s="138" t="str">
        <f>IF(ISBLANK(F94),"-",$D$101/$F$98*F94)</f>
        <v>-</v>
      </c>
      <c r="I94" s="139"/>
    </row>
    <row r="95" spans="1:12" ht="27" customHeight="1" x14ac:dyDescent="0.4">
      <c r="A95" s="118" t="s">
        <v>69</v>
      </c>
      <c r="B95" s="119">
        <v>1</v>
      </c>
      <c r="C95" s="210" t="s">
        <v>70</v>
      </c>
      <c r="D95" s="211" t="e">
        <f>AVERAGE(D91:D94)</f>
        <v>#DIV/0!</v>
      </c>
      <c r="E95" s="142" t="e">
        <f>AVERAGE(E91:E94)</f>
        <v>#DIV/0!</v>
      </c>
      <c r="F95" s="212" t="e">
        <f>AVERAGE(F91:F94)</f>
        <v>#DIV/0!</v>
      </c>
      <c r="G95" s="213" t="e">
        <f>AVERAGE(G91:G94)</f>
        <v>#DIV/0!</v>
      </c>
    </row>
    <row r="96" spans="1:12" ht="26.25" customHeight="1" x14ac:dyDescent="0.4">
      <c r="A96" s="118" t="s">
        <v>71</v>
      </c>
      <c r="B96" s="104">
        <v>1</v>
      </c>
      <c r="C96" s="214" t="s">
        <v>112</v>
      </c>
      <c r="D96" s="215"/>
      <c r="E96" s="134"/>
      <c r="F96" s="146"/>
    </row>
    <row r="97" spans="1:10" ht="26.25" customHeight="1" x14ac:dyDescent="0.4">
      <c r="A97" s="118" t="s">
        <v>73</v>
      </c>
      <c r="B97" s="104">
        <v>1</v>
      </c>
      <c r="C97" s="216" t="s">
        <v>113</v>
      </c>
      <c r="D97" s="217">
        <f>D96*$B$87</f>
        <v>0</v>
      </c>
      <c r="E97" s="149"/>
      <c r="F97" s="148">
        <f>F96*$B$87</f>
        <v>0</v>
      </c>
    </row>
    <row r="98" spans="1:10" ht="19.5" customHeight="1" x14ac:dyDescent="0.3">
      <c r="A98" s="118" t="s">
        <v>75</v>
      </c>
      <c r="B98" s="218">
        <f>(B97/B96)*(B95/B94)*(B93/B92)*(B91/B90)*B89</f>
        <v>1</v>
      </c>
      <c r="C98" s="216" t="s">
        <v>114</v>
      </c>
      <c r="D98" s="219">
        <f>D97*$B$83/100</f>
        <v>0</v>
      </c>
      <c r="E98" s="152"/>
      <c r="F98" s="151">
        <f>F97*$B$83/100</f>
        <v>0</v>
      </c>
    </row>
    <row r="99" spans="1:10" ht="19.5" customHeight="1" x14ac:dyDescent="0.3">
      <c r="A99" s="303" t="s">
        <v>77</v>
      </c>
      <c r="B99" s="317"/>
      <c r="C99" s="216" t="s">
        <v>115</v>
      </c>
      <c r="D99" s="220">
        <f>D98/$B$98</f>
        <v>0</v>
      </c>
      <c r="E99" s="152"/>
      <c r="F99" s="155">
        <f>F98/$B$98</f>
        <v>0</v>
      </c>
      <c r="G99" s="221"/>
      <c r="H99" s="144"/>
    </row>
    <row r="100" spans="1:10" ht="19.5" customHeight="1" x14ac:dyDescent="0.3">
      <c r="A100" s="305"/>
      <c r="B100" s="318"/>
      <c r="C100" s="216" t="s">
        <v>79</v>
      </c>
      <c r="D100" s="222">
        <f>$B$56/$B$116</f>
        <v>0.1111111111111111</v>
      </c>
      <c r="F100" s="160"/>
      <c r="G100" s="223"/>
      <c r="H100" s="144"/>
    </row>
    <row r="101" spans="1:10" ht="18.75" x14ac:dyDescent="0.3">
      <c r="C101" s="216" t="s">
        <v>80</v>
      </c>
      <c r="D101" s="217">
        <f>D100*$B$98</f>
        <v>0.1111111111111111</v>
      </c>
      <c r="F101" s="160"/>
      <c r="G101" s="221"/>
      <c r="H101" s="144"/>
    </row>
    <row r="102" spans="1:10" ht="19.5" customHeight="1" x14ac:dyDescent="0.3">
      <c r="C102" s="224" t="s">
        <v>81</v>
      </c>
      <c r="D102" s="225">
        <f>D101/B34</f>
        <v>0.14493878280959116</v>
      </c>
      <c r="F102" s="164"/>
      <c r="G102" s="221"/>
      <c r="H102" s="144"/>
      <c r="J102" s="226"/>
    </row>
    <row r="103" spans="1:10" ht="18.75" x14ac:dyDescent="0.3">
      <c r="C103" s="227" t="s">
        <v>116</v>
      </c>
      <c r="D103" s="228" t="e">
        <f>AVERAGE(E91:E94,G91:G94)</f>
        <v>#DIV/0!</v>
      </c>
      <c r="F103" s="164"/>
      <c r="G103" s="229"/>
      <c r="H103" s="144"/>
      <c r="J103" s="230"/>
    </row>
    <row r="104" spans="1:10" ht="18.75" x14ac:dyDescent="0.3">
      <c r="C104" s="194" t="s">
        <v>83</v>
      </c>
      <c r="D104" s="231" t="e">
        <f>STDEV(E91:E94,G91:G94)/D103</f>
        <v>#DIV/0!</v>
      </c>
      <c r="F104" s="164"/>
      <c r="G104" s="221"/>
      <c r="H104" s="144"/>
      <c r="J104" s="230"/>
    </row>
    <row r="105" spans="1:10" ht="19.5" customHeight="1" x14ac:dyDescent="0.3">
      <c r="C105" s="196" t="s">
        <v>20</v>
      </c>
      <c r="D105" s="232">
        <f>COUNT(E91:E94,G91:G94)</f>
        <v>0</v>
      </c>
      <c r="F105" s="164"/>
      <c r="G105" s="221"/>
      <c r="H105" s="144"/>
      <c r="J105" s="230"/>
    </row>
    <row r="106" spans="1:10" ht="19.5" customHeight="1" x14ac:dyDescent="0.3">
      <c r="A106" s="168"/>
      <c r="B106" s="168"/>
      <c r="C106" s="168"/>
      <c r="D106" s="168"/>
      <c r="E106" s="168"/>
    </row>
    <row r="107" spans="1:10" ht="26.25" customHeight="1" x14ac:dyDescent="0.4">
      <c r="A107" s="116" t="s">
        <v>117</v>
      </c>
      <c r="B107" s="117">
        <v>900</v>
      </c>
      <c r="C107" s="233" t="s">
        <v>118</v>
      </c>
      <c r="D107" s="234" t="s">
        <v>62</v>
      </c>
      <c r="E107" s="235" t="s">
        <v>119</v>
      </c>
      <c r="F107" s="236" t="s">
        <v>120</v>
      </c>
    </row>
    <row r="108" spans="1:10" ht="26.25" customHeight="1" x14ac:dyDescent="0.4">
      <c r="A108" s="118" t="s">
        <v>121</v>
      </c>
      <c r="B108" s="119">
        <v>1</v>
      </c>
      <c r="C108" s="237">
        <v>1</v>
      </c>
      <c r="D108" s="238"/>
      <c r="E108" s="269" t="str">
        <f t="shared" ref="E108:E113" si="1">IF(ISBLANK(D108),"-",D108/$D$103*$D$100*$B$116)</f>
        <v>-</v>
      </c>
      <c r="F108" s="239" t="str">
        <f t="shared" ref="F108:F113" si="2">IF(ISBLANK(D108), "-", E108/$B$56)</f>
        <v>-</v>
      </c>
    </row>
    <row r="109" spans="1:10" ht="26.25" customHeight="1" x14ac:dyDescent="0.4">
      <c r="A109" s="118" t="s">
        <v>94</v>
      </c>
      <c r="B109" s="119">
        <v>1</v>
      </c>
      <c r="C109" s="237">
        <v>2</v>
      </c>
      <c r="D109" s="238"/>
      <c r="E109" s="270" t="str">
        <f t="shared" si="1"/>
        <v>-</v>
      </c>
      <c r="F109" s="240" t="str">
        <f t="shared" si="2"/>
        <v>-</v>
      </c>
    </row>
    <row r="110" spans="1:10" ht="26.25" customHeight="1" x14ac:dyDescent="0.4">
      <c r="A110" s="118" t="s">
        <v>95</v>
      </c>
      <c r="B110" s="119">
        <v>1</v>
      </c>
      <c r="C110" s="237">
        <v>3</v>
      </c>
      <c r="D110" s="238"/>
      <c r="E110" s="270" t="str">
        <f t="shared" si="1"/>
        <v>-</v>
      </c>
      <c r="F110" s="240" t="str">
        <f t="shared" si="2"/>
        <v>-</v>
      </c>
    </row>
    <row r="111" spans="1:10" ht="26.25" customHeight="1" x14ac:dyDescent="0.4">
      <c r="A111" s="118" t="s">
        <v>96</v>
      </c>
      <c r="B111" s="119">
        <v>1</v>
      </c>
      <c r="C111" s="237">
        <v>4</v>
      </c>
      <c r="D111" s="238"/>
      <c r="E111" s="270" t="str">
        <f t="shared" si="1"/>
        <v>-</v>
      </c>
      <c r="F111" s="240" t="str">
        <f t="shared" si="2"/>
        <v>-</v>
      </c>
    </row>
    <row r="112" spans="1:10" ht="26.25" customHeight="1" x14ac:dyDescent="0.4">
      <c r="A112" s="118" t="s">
        <v>97</v>
      </c>
      <c r="B112" s="119">
        <v>1</v>
      </c>
      <c r="C112" s="237">
        <v>5</v>
      </c>
      <c r="D112" s="238"/>
      <c r="E112" s="270" t="str">
        <f t="shared" si="1"/>
        <v>-</v>
      </c>
      <c r="F112" s="240" t="str">
        <f t="shared" si="2"/>
        <v>-</v>
      </c>
    </row>
    <row r="113" spans="1:10" ht="26.25" customHeight="1" x14ac:dyDescent="0.4">
      <c r="A113" s="118" t="s">
        <v>99</v>
      </c>
      <c r="B113" s="119">
        <v>1</v>
      </c>
      <c r="C113" s="241">
        <v>6</v>
      </c>
      <c r="D113" s="242"/>
      <c r="E113" s="271" t="str">
        <f t="shared" si="1"/>
        <v>-</v>
      </c>
      <c r="F113" s="243" t="str">
        <f t="shared" si="2"/>
        <v>-</v>
      </c>
    </row>
    <row r="114" spans="1:10" ht="26.25" customHeight="1" x14ac:dyDescent="0.4">
      <c r="A114" s="118" t="s">
        <v>100</v>
      </c>
      <c r="B114" s="119">
        <v>1</v>
      </c>
      <c r="C114" s="237"/>
      <c r="D114" s="191"/>
      <c r="E114" s="92"/>
      <c r="F114" s="244"/>
    </row>
    <row r="115" spans="1:10" ht="26.25" customHeight="1" x14ac:dyDescent="0.4">
      <c r="A115" s="118" t="s">
        <v>101</v>
      </c>
      <c r="B115" s="119">
        <v>1</v>
      </c>
      <c r="C115" s="237"/>
      <c r="D115" s="245" t="s">
        <v>70</v>
      </c>
      <c r="E115" s="273" t="e">
        <f>AVERAGE(E108:E113)</f>
        <v>#DIV/0!</v>
      </c>
      <c r="F115" s="246" t="e">
        <f>AVERAGE(F108:F113)</f>
        <v>#DIV/0!</v>
      </c>
    </row>
    <row r="116" spans="1:10" ht="27" customHeight="1" x14ac:dyDescent="0.4">
      <c r="A116" s="118" t="s">
        <v>102</v>
      </c>
      <c r="B116" s="150">
        <f>(B115/B114)*(B113/B112)*(B111/B110)*(B109/B108)*B107</f>
        <v>900</v>
      </c>
      <c r="C116" s="247"/>
      <c r="D116" s="210" t="s">
        <v>83</v>
      </c>
      <c r="E116" s="248" t="e">
        <f>STDEV(E108:E113)/E115</f>
        <v>#DIV/0!</v>
      </c>
      <c r="F116" s="248" t="e">
        <f>STDEV(F108:F113)/F115</f>
        <v>#DIV/0!</v>
      </c>
      <c r="I116" s="92"/>
    </row>
    <row r="117" spans="1:10" ht="27" customHeight="1" x14ac:dyDescent="0.4">
      <c r="A117" s="303" t="s">
        <v>77</v>
      </c>
      <c r="B117" s="304"/>
      <c r="C117" s="249"/>
      <c r="D117" s="250" t="s">
        <v>20</v>
      </c>
      <c r="E117" s="251">
        <f>COUNT(E108:E113)</f>
        <v>0</v>
      </c>
      <c r="F117" s="251">
        <f>COUNT(F108:F113)</f>
        <v>0</v>
      </c>
      <c r="I117" s="92"/>
      <c r="J117" s="230"/>
    </row>
    <row r="118" spans="1:10" ht="19.5" customHeight="1" x14ac:dyDescent="0.3">
      <c r="A118" s="305"/>
      <c r="B118" s="306"/>
      <c r="C118" s="92"/>
      <c r="D118" s="92"/>
      <c r="E118" s="92"/>
      <c r="F118" s="191"/>
      <c r="G118" s="92"/>
      <c r="H118" s="92"/>
      <c r="I118" s="92"/>
    </row>
    <row r="119" spans="1:10" ht="18.75" x14ac:dyDescent="0.3">
      <c r="A119" s="260"/>
      <c r="B119" s="114"/>
      <c r="C119" s="92"/>
      <c r="D119" s="92"/>
      <c r="E119" s="92"/>
      <c r="F119" s="191"/>
      <c r="G119" s="92"/>
      <c r="H119" s="92"/>
      <c r="I119" s="92"/>
    </row>
    <row r="120" spans="1:10" ht="26.25" customHeight="1" x14ac:dyDescent="0.4">
      <c r="A120" s="102" t="s">
        <v>105</v>
      </c>
      <c r="B120" s="198" t="s">
        <v>122</v>
      </c>
      <c r="C120" s="315" t="str">
        <f>B20</f>
        <v>Cefpodoxime Proxetil</v>
      </c>
      <c r="D120" s="315"/>
      <c r="E120" s="199" t="s">
        <v>123</v>
      </c>
      <c r="F120" s="199"/>
      <c r="G120" s="200" t="e">
        <f>F115</f>
        <v>#DIV/0!</v>
      </c>
      <c r="H120" s="92"/>
      <c r="I120" s="92"/>
    </row>
    <row r="121" spans="1:10" ht="19.5" customHeight="1" x14ac:dyDescent="0.3">
      <c r="A121" s="252"/>
      <c r="B121" s="252"/>
      <c r="C121" s="253"/>
      <c r="D121" s="253"/>
      <c r="E121" s="253"/>
      <c r="F121" s="253"/>
      <c r="G121" s="253"/>
      <c r="H121" s="253"/>
    </row>
    <row r="122" spans="1:10" ht="18.75" x14ac:dyDescent="0.3">
      <c r="B122" s="316" t="s">
        <v>25</v>
      </c>
      <c r="C122" s="316"/>
      <c r="E122" s="205" t="s">
        <v>26</v>
      </c>
      <c r="F122" s="254"/>
      <c r="G122" s="316" t="s">
        <v>27</v>
      </c>
      <c r="H122" s="316"/>
    </row>
    <row r="123" spans="1:10" ht="69.95" customHeight="1" x14ac:dyDescent="0.3">
      <c r="A123" s="255" t="s">
        <v>28</v>
      </c>
      <c r="B123" s="256"/>
      <c r="C123" s="256"/>
      <c r="E123" s="256"/>
      <c r="F123" s="92"/>
      <c r="G123" s="257"/>
      <c r="H123" s="257"/>
    </row>
    <row r="124" spans="1:10" ht="69.95" customHeight="1" x14ac:dyDescent="0.3">
      <c r="A124" s="255" t="s">
        <v>29</v>
      </c>
      <c r="B124" s="258"/>
      <c r="C124" s="258"/>
      <c r="E124" s="258"/>
      <c r="F124" s="92"/>
      <c r="G124" s="259"/>
      <c r="H124" s="259"/>
    </row>
    <row r="125" spans="1:10" ht="18.75" x14ac:dyDescent="0.3">
      <c r="A125" s="190"/>
      <c r="B125" s="190"/>
      <c r="C125" s="191"/>
      <c r="D125" s="191"/>
      <c r="E125" s="191"/>
      <c r="F125" s="195"/>
      <c r="G125" s="191"/>
      <c r="H125" s="191"/>
      <c r="I125" s="92"/>
    </row>
    <row r="126" spans="1:10" ht="18.75" x14ac:dyDescent="0.3">
      <c r="A126" s="190"/>
      <c r="B126" s="190"/>
      <c r="C126" s="191"/>
      <c r="D126" s="191"/>
      <c r="E126" s="191"/>
      <c r="F126" s="195"/>
      <c r="G126" s="191"/>
      <c r="H126" s="191"/>
      <c r="I126" s="92"/>
    </row>
    <row r="127" spans="1:10" ht="18.75" x14ac:dyDescent="0.3">
      <c r="A127" s="190"/>
      <c r="B127" s="190"/>
      <c r="C127" s="191"/>
      <c r="D127" s="191"/>
      <c r="E127" s="191"/>
      <c r="F127" s="195"/>
      <c r="G127" s="191"/>
      <c r="H127" s="191"/>
      <c r="I127" s="92"/>
    </row>
    <row r="128" spans="1:10" ht="18.75" x14ac:dyDescent="0.3">
      <c r="A128" s="190"/>
      <c r="B128" s="190"/>
      <c r="C128" s="191"/>
      <c r="D128" s="191"/>
      <c r="E128" s="191"/>
      <c r="F128" s="195"/>
      <c r="G128" s="191"/>
      <c r="H128" s="191"/>
      <c r="I128" s="92"/>
    </row>
    <row r="129" spans="1:9" ht="18.75" x14ac:dyDescent="0.3">
      <c r="A129" s="190"/>
      <c r="B129" s="190"/>
      <c r="C129" s="191"/>
      <c r="D129" s="191"/>
      <c r="E129" s="191"/>
      <c r="F129" s="195"/>
      <c r="G129" s="191"/>
      <c r="H129" s="191"/>
      <c r="I129" s="92"/>
    </row>
    <row r="130" spans="1:9" ht="18.75" x14ac:dyDescent="0.3">
      <c r="A130" s="190"/>
      <c r="B130" s="190"/>
      <c r="C130" s="191"/>
      <c r="D130" s="191"/>
      <c r="E130" s="191"/>
      <c r="F130" s="195"/>
      <c r="G130" s="191"/>
      <c r="H130" s="191"/>
      <c r="I130" s="92"/>
    </row>
    <row r="131" spans="1:9" ht="18.75" x14ac:dyDescent="0.3">
      <c r="A131" s="190"/>
      <c r="B131" s="190"/>
      <c r="C131" s="191"/>
      <c r="D131" s="191"/>
      <c r="E131" s="191"/>
      <c r="F131" s="195"/>
      <c r="G131" s="191"/>
      <c r="H131" s="191"/>
      <c r="I131" s="92"/>
    </row>
    <row r="132" spans="1:9" ht="18.75" x14ac:dyDescent="0.3">
      <c r="A132" s="190"/>
      <c r="B132" s="190"/>
      <c r="C132" s="191"/>
      <c r="D132" s="191"/>
      <c r="E132" s="191"/>
      <c r="F132" s="195"/>
      <c r="G132" s="191"/>
      <c r="H132" s="191"/>
      <c r="I132" s="92"/>
    </row>
    <row r="133" spans="1:9" ht="18.75" x14ac:dyDescent="0.3">
      <c r="A133" s="190"/>
      <c r="B133" s="190"/>
      <c r="C133" s="191"/>
      <c r="D133" s="191"/>
      <c r="E133" s="191"/>
      <c r="F133" s="195"/>
      <c r="G133" s="191"/>
      <c r="H133" s="191"/>
      <c r="I133" s="92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Cefpodoxime</vt:lpstr>
      <vt:lpstr>Cefpodoxime!Print_Area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Moenga</cp:lastModifiedBy>
  <cp:lastPrinted>2016-02-03T07:37:17Z</cp:lastPrinted>
  <dcterms:created xsi:type="dcterms:W3CDTF">2005-07-05T10:19:27Z</dcterms:created>
  <dcterms:modified xsi:type="dcterms:W3CDTF">2016-02-03T07:38:29Z</dcterms:modified>
</cp:coreProperties>
</file>