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Uniformity" sheetId="2" r:id="rId1"/>
    <sheet name="SST (Amoxicillin)" sheetId="5" r:id="rId2"/>
    <sheet name="SST (clavulanate)" sheetId="1" r:id="rId3"/>
    <sheet name="amoxicillin Trihydrate" sheetId="3" r:id="rId4"/>
    <sheet name="Clavulanic acid" sheetId="4" r:id="rId5"/>
  </sheets>
  <definedNames>
    <definedName name="_xlnm.Print_Area" localSheetId="0">Uniformity!$A$1:$P$54</definedName>
  </definedNames>
  <calcPr calcId="145621"/>
</workbook>
</file>

<file path=xl/calcChain.xml><?xml version="1.0" encoding="utf-8"?>
<calcChain xmlns="http://schemas.openxmlformats.org/spreadsheetml/2006/main">
  <c r="F51" i="1" l="1"/>
  <c r="F30" i="1"/>
  <c r="G120" i="4" l="1"/>
  <c r="F115" i="4"/>
  <c r="F115" i="3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H63" i="3" l="1"/>
  <c r="H67" i="3"/>
  <c r="B69" i="4" l="1"/>
  <c r="C120" i="4" l="1"/>
  <c r="B116" i="4"/>
  <c r="D100" i="4" s="1"/>
  <c r="B98" i="4"/>
  <c r="F95" i="4"/>
  <c r="D95" i="4"/>
  <c r="B87" i="4"/>
  <c r="D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D97" i="3" s="1"/>
  <c r="D98" i="3" s="1"/>
  <c r="B83" i="3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50" i="2"/>
  <c r="C46" i="2"/>
  <c r="C45" i="2"/>
  <c r="D40" i="2"/>
  <c r="D38" i="2"/>
  <c r="D34" i="2"/>
  <c r="D33" i="2"/>
  <c r="D29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39" i="3"/>
  <c r="F45" i="3"/>
  <c r="F46" i="3" s="1"/>
  <c r="D44" i="3"/>
  <c r="D45" i="3" s="1"/>
  <c r="I92" i="4"/>
  <c r="I92" i="3"/>
  <c r="D101" i="4"/>
  <c r="D102" i="4" s="1"/>
  <c r="F97" i="4"/>
  <c r="F98" i="4" s="1"/>
  <c r="D98" i="4"/>
  <c r="D99" i="4" s="1"/>
  <c r="F97" i="3"/>
  <c r="F98" i="3" s="1"/>
  <c r="F99" i="3" s="1"/>
  <c r="D101" i="3"/>
  <c r="E94" i="3" s="1"/>
  <c r="D99" i="3"/>
  <c r="G41" i="3"/>
  <c r="D49" i="3"/>
  <c r="C49" i="2"/>
  <c r="D43" i="2"/>
  <c r="D39" i="2"/>
  <c r="D35" i="2"/>
  <c r="D31" i="2"/>
  <c r="D27" i="2"/>
  <c r="D50" i="2"/>
  <c r="F44" i="4"/>
  <c r="F45" i="4" s="1"/>
  <c r="F46" i="4" s="1"/>
  <c r="D44" i="4"/>
  <c r="D45" i="4" s="1"/>
  <c r="E38" i="4" s="1"/>
  <c r="D49" i="4"/>
  <c r="D25" i="2"/>
  <c r="D30" i="2"/>
  <c r="D36" i="2"/>
  <c r="D41" i="2"/>
  <c r="B49" i="2"/>
  <c r="B57" i="4"/>
  <c r="D26" i="2"/>
  <c r="D32" i="2"/>
  <c r="D37" i="2"/>
  <c r="D42" i="2"/>
  <c r="D49" i="2"/>
  <c r="B57" i="3"/>
  <c r="E94" i="4" l="1"/>
  <c r="E40" i="4"/>
  <c r="E39" i="4"/>
  <c r="G38" i="3"/>
  <c r="G40" i="3"/>
  <c r="G39" i="3"/>
  <c r="G39" i="4"/>
  <c r="D46" i="3"/>
  <c r="E39" i="3"/>
  <c r="E38" i="3"/>
  <c r="E41" i="3"/>
  <c r="E40" i="3"/>
  <c r="G91" i="4"/>
  <c r="G93" i="4"/>
  <c r="E93" i="4"/>
  <c r="E92" i="4"/>
  <c r="E91" i="4"/>
  <c r="G92" i="4"/>
  <c r="F99" i="4"/>
  <c r="G94" i="4"/>
  <c r="E93" i="3"/>
  <c r="E92" i="3"/>
  <c r="G93" i="3"/>
  <c r="E91" i="3"/>
  <c r="D102" i="3"/>
  <c r="G91" i="3"/>
  <c r="G92" i="3"/>
  <c r="G40" i="4"/>
  <c r="G38" i="4"/>
  <c r="G41" i="4"/>
  <c r="D46" i="4"/>
  <c r="E41" i="4"/>
  <c r="G42" i="3" l="1"/>
  <c r="D52" i="4"/>
  <c r="E42" i="4"/>
  <c r="D50" i="4"/>
  <c r="G67" i="4" s="1"/>
  <c r="H67" i="4" s="1"/>
  <c r="G42" i="4"/>
  <c r="E42" i="3"/>
  <c r="D50" i="3"/>
  <c r="G64" i="3" s="1"/>
  <c r="H64" i="3" s="1"/>
  <c r="D52" i="3"/>
  <c r="G95" i="3"/>
  <c r="G95" i="4"/>
  <c r="D105" i="4"/>
  <c r="D103" i="4"/>
  <c r="E113" i="4" s="1"/>
  <c r="F113" i="4" s="1"/>
  <c r="E95" i="4"/>
  <c r="D105" i="3"/>
  <c r="E95" i="3"/>
  <c r="D103" i="3"/>
  <c r="E108" i="3" s="1"/>
  <c r="G67" i="3"/>
  <c r="G63" i="3"/>
  <c r="G71" i="3"/>
  <c r="H71" i="3" s="1"/>
  <c r="G62" i="3" l="1"/>
  <c r="H62" i="3" s="1"/>
  <c r="G60" i="3"/>
  <c r="H60" i="3" s="1"/>
  <c r="G65" i="3"/>
  <c r="H65" i="3" s="1"/>
  <c r="G66" i="3"/>
  <c r="H66" i="3" s="1"/>
  <c r="G68" i="3"/>
  <c r="H68" i="3" s="1"/>
  <c r="D51" i="3"/>
  <c r="G69" i="3"/>
  <c r="H69" i="3" s="1"/>
  <c r="G61" i="3"/>
  <c r="H61" i="3" s="1"/>
  <c r="G70" i="3"/>
  <c r="H70" i="3" s="1"/>
  <c r="G69" i="4"/>
  <c r="H69" i="4" s="1"/>
  <c r="G64" i="4"/>
  <c r="H64" i="4" s="1"/>
  <c r="G65" i="4"/>
  <c r="H65" i="4" s="1"/>
  <c r="G62" i="4"/>
  <c r="H62" i="4" s="1"/>
  <c r="G71" i="4"/>
  <c r="H71" i="4" s="1"/>
  <c r="G61" i="4"/>
  <c r="H61" i="4" s="1"/>
  <c r="G70" i="4"/>
  <c r="H70" i="4" s="1"/>
  <c r="G66" i="4"/>
  <c r="H66" i="4" s="1"/>
  <c r="G60" i="4"/>
  <c r="G63" i="4"/>
  <c r="H63" i="4" s="1"/>
  <c r="D51" i="4"/>
  <c r="G68" i="4"/>
  <c r="H68" i="4" s="1"/>
  <c r="D104" i="4"/>
  <c r="E109" i="4"/>
  <c r="F109" i="4" s="1"/>
  <c r="E112" i="4"/>
  <c r="F112" i="4" s="1"/>
  <c r="E108" i="4"/>
  <c r="F108" i="4" s="1"/>
  <c r="E111" i="4"/>
  <c r="F111" i="4" s="1"/>
  <c r="E110" i="4"/>
  <c r="F110" i="4" s="1"/>
  <c r="E109" i="3"/>
  <c r="F109" i="3" s="1"/>
  <c r="E113" i="3"/>
  <c r="F113" i="3" s="1"/>
  <c r="E110" i="3"/>
  <c r="F110" i="3" s="1"/>
  <c r="E111" i="3"/>
  <c r="F111" i="3" s="1"/>
  <c r="E112" i="3"/>
  <c r="F112" i="3" s="1"/>
  <c r="D104" i="3"/>
  <c r="F108" i="3"/>
  <c r="H72" i="3" l="1"/>
  <c r="G76" i="3" s="1"/>
  <c r="G74" i="3"/>
  <c r="G72" i="3"/>
  <c r="G73" i="3" s="1"/>
  <c r="H60" i="4"/>
  <c r="H72" i="4" s="1"/>
  <c r="G76" i="4" s="1"/>
  <c r="G72" i="4"/>
  <c r="G73" i="4" s="1"/>
  <c r="G74" i="4"/>
  <c r="E115" i="3"/>
  <c r="E116" i="3" s="1"/>
  <c r="E115" i="4"/>
  <c r="E116" i="4" s="1"/>
  <c r="E117" i="4"/>
  <c r="E117" i="3"/>
  <c r="F117" i="4"/>
  <c r="H74" i="3"/>
  <c r="F117" i="3"/>
  <c r="H73" i="4" l="1"/>
  <c r="H74" i="4"/>
  <c r="F116" i="4"/>
  <c r="G120" i="3"/>
  <c r="F116" i="3"/>
  <c r="H73" i="3"/>
</calcChain>
</file>

<file path=xl/sharedStrings.xml><?xml version="1.0" encoding="utf-8"?>
<sst xmlns="http://schemas.openxmlformats.org/spreadsheetml/2006/main" count="437" uniqueCount="130">
  <si>
    <t>HPLC System Suitability Report</t>
  </si>
  <si>
    <t>Analysis Data</t>
  </si>
  <si>
    <t>Assay</t>
  </si>
  <si>
    <t>Sample(s)</t>
  </si>
  <si>
    <t>Reference Substance:</t>
  </si>
  <si>
    <t>Aivclav-625 Tablets</t>
  </si>
  <si>
    <t>% age Purity:</t>
  </si>
  <si>
    <t>NDQD201512617</t>
  </si>
  <si>
    <t>Weight (mg):</t>
  </si>
  <si>
    <t>Amoxicillin &amp; Clavulanic Acid</t>
  </si>
  <si>
    <t>Standard Conc (mg/mL):</t>
  </si>
  <si>
    <t>Each film coated tablet contains: Amoxicillin Trihydrate USP eq. to Amoxicillin 500mg
Diluted Potassium Clavulanate BP eq. to Clavulanic acid 125mg</t>
  </si>
  <si>
    <t>2015-12-09 08:19:41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</si>
  <si>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</si>
  <si>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</si>
  <si>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</si>
  <si>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</si>
  <si>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</si>
  <si>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</si>
  <si>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</si>
  <si>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</si>
  <si>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</si>
  <si>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</si>
  <si>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</si>
  <si>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</si>
  <si>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</si>
  <si>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</si>
  <si>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</si>
  <si>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</si>
  <si>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</si>
  <si>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</si>
  <si>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</si>
  <si>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</si>
  <si>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</si>
  <si>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</si>
  <si>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</si>
  <si>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</si>
  <si>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</si>
  <si>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</si>
  <si>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</si>
  <si>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</si>
  <si>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</si>
  <si>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</si>
  <si>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</si>
  <si>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</si>
  <si>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</si>
  <si>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</si>
  <si>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</si>
  <si>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</si>
  <si>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</si>
  <si>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</si>
  <si>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</si>
  <si>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</si>
  <si>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</si>
  <si>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</si>
  <si>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</si>
  <si>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</si>
  <si>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</si>
  <si>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</si>
  <si>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</si>
  <si>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</si>
  <si>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</si>
  <si>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</si>
  <si>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</si>
  <si>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</si>
  <si>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</si>
  <si>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</si>
  <si>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</si>
  <si>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</si>
  <si>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</si>
  <si>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</si>
  <si>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</si>
  <si>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</si>
  <si>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</si>
  <si>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</si>
  <si>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</si>
  <si>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</si>
  <si>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</si>
  <si>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</si>
  <si>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</si>
  <si>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</si>
  <si>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</si>
  <si>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</si>
  <si>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</si>
  <si>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</si>
  <si>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</si>
  <si>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</si>
  <si>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</si>
  <si>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</si>
  <si>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</si>
  <si>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</si>
  <si>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</si>
  <si>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</si>
  <si>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</si>
  <si>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</si>
  <si>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</si>
  <si>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</si>
  <si>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</si>
  <si>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</si>
  <si>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</si>
  <si>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</si>
  <si>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</si>
  <si>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</si>
  <si>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</si>
  <si>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</si>
  <si>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</si>
  <si>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</si>
  <si>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</si>
  <si>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</si>
  <si>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</si>
  <si>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</si>
  <si>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</si>
  <si>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</si>
  <si>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</si>
  <si>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</si>
  <si>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</si>
  <si>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</si>
  <si>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</si>
  <si>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</si>
  <si>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</si>
  <si>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</si>
  <si>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</si>
  <si>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</si>
  <si>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</si>
  <si>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</si>
  <si>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</si>
  <si>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clavulaniclithium</t>
  </si>
  <si>
    <t>Clavulanate Lithium</t>
  </si>
  <si>
    <t>Amoxicillin Trihydrate</t>
  </si>
  <si>
    <t>Peak Retention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</si>
</sst>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5" fontId="11" fillId="2" borderId="32" xfId="0" applyNumberFormat="1" applyFont="1" applyFill="1" applyBorder="1" applyAlignment="1">
      <alignment horizontal="center"/>
    </xf>
    <xf numFmtId="165" fontId="11" fillId="2" borderId="30" xfId="0" applyNumberFormat="1" applyFont="1" applyFill="1" applyBorder="1" applyAlignment="1">
      <alignment horizontal="center"/>
    </xf>
    <xf numFmtId="165" fontId="11" fillId="2" borderId="36" xfId="0" applyNumberFormat="1" applyFont="1" applyFill="1" applyBorder="1" applyAlignment="1">
      <alignment horizontal="center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2" fillId="2" borderId="60" xfId="0" applyFont="1" applyFill="1" applyBorder="1" applyAlignment="1">
      <alignment horizontal="center"/>
    </xf>
    <xf numFmtId="10" fontId="11" fillId="2" borderId="61" xfId="0" applyNumberFormat="1" applyFont="1" applyFill="1" applyBorder="1" applyAlignment="1">
      <alignment horizontal="center" vertical="center"/>
    </xf>
    <xf numFmtId="10" fontId="11" fillId="2" borderId="62" xfId="0" applyNumberFormat="1" applyFont="1" applyFill="1" applyBorder="1" applyAlignment="1">
      <alignment horizontal="center" vertical="center"/>
    </xf>
    <xf numFmtId="10" fontId="11" fillId="2" borderId="6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B30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31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32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33</v>
      </c>
      <c r="B14" s="469"/>
      <c r="C14" s="60" t="s">
        <v>5</v>
      </c>
    </row>
    <row r="15" spans="1:7" ht="16.5" customHeight="1" x14ac:dyDescent="0.3">
      <c r="A15" s="469" t="s">
        <v>34</v>
      </c>
      <c r="B15" s="469"/>
      <c r="C15" s="60" t="s">
        <v>7</v>
      </c>
    </row>
    <row r="16" spans="1:7" ht="16.5" customHeight="1" x14ac:dyDescent="0.3">
      <c r="A16" s="469" t="s">
        <v>35</v>
      </c>
      <c r="B16" s="469"/>
      <c r="C16" s="60" t="s">
        <v>9</v>
      </c>
    </row>
    <row r="17" spans="1:5" ht="16.5" customHeight="1" x14ac:dyDescent="0.3">
      <c r="A17" s="469" t="s">
        <v>36</v>
      </c>
      <c r="B17" s="469"/>
      <c r="C17" s="60" t="s">
        <v>11</v>
      </c>
    </row>
    <row r="18" spans="1:5" ht="16.5" customHeight="1" x14ac:dyDescent="0.3">
      <c r="A18" s="469" t="s">
        <v>37</v>
      </c>
      <c r="B18" s="469"/>
      <c r="C18" s="97" t="s">
        <v>12</v>
      </c>
    </row>
    <row r="19" spans="1:5" ht="16.5" customHeight="1" x14ac:dyDescent="0.3">
      <c r="A19" s="469" t="s">
        <v>38</v>
      </c>
      <c r="B19" s="46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39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1017.97</v>
      </c>
      <c r="D24" s="87">
        <f t="shared" ref="D24:D43" si="0">(C24-$C$46)/$C$46</f>
        <v>-2.1180809963096101E-2</v>
      </c>
      <c r="E24" s="53"/>
    </row>
    <row r="25" spans="1:5" ht="15.75" customHeight="1" x14ac:dyDescent="0.3">
      <c r="C25" s="95">
        <v>1044.42</v>
      </c>
      <c r="D25" s="88">
        <f t="shared" si="0"/>
        <v>4.2519312537139739E-3</v>
      </c>
      <c r="E25" s="53"/>
    </row>
    <row r="26" spans="1:5" ht="15.75" customHeight="1" x14ac:dyDescent="0.3">
      <c r="C26" s="95">
        <v>1043.9100000000001</v>
      </c>
      <c r="D26" s="88">
        <f t="shared" si="0"/>
        <v>3.7615456952802165E-3</v>
      </c>
      <c r="E26" s="53"/>
    </row>
    <row r="27" spans="1:5" ht="15.75" customHeight="1" x14ac:dyDescent="0.3">
      <c r="C27" s="95">
        <v>1023.15</v>
      </c>
      <c r="D27" s="88">
        <f t="shared" si="0"/>
        <v>-1.6200031153906131E-2</v>
      </c>
      <c r="E27" s="53"/>
    </row>
    <row r="28" spans="1:5" ht="15.75" customHeight="1" x14ac:dyDescent="0.3">
      <c r="C28" s="95">
        <v>1034.1600000000001</v>
      </c>
      <c r="D28" s="88">
        <f t="shared" si="0"/>
        <v>-5.6134723336006076E-3</v>
      </c>
      <c r="E28" s="53"/>
    </row>
    <row r="29" spans="1:5" ht="15.75" customHeight="1" x14ac:dyDescent="0.3">
      <c r="C29" s="95">
        <v>1041.45</v>
      </c>
      <c r="D29" s="88">
        <f t="shared" si="0"/>
        <v>1.3961565310702502E-3</v>
      </c>
      <c r="E29" s="53"/>
    </row>
    <row r="30" spans="1:5" ht="15.75" customHeight="1" x14ac:dyDescent="0.3">
      <c r="C30" s="95">
        <v>1029.6500000000001</v>
      </c>
      <c r="D30" s="88">
        <f t="shared" si="0"/>
        <v>-9.9500191346521393E-3</v>
      </c>
      <c r="E30" s="53"/>
    </row>
    <row r="31" spans="1:5" ht="15.75" customHeight="1" x14ac:dyDescent="0.3">
      <c r="C31" s="95">
        <v>1063.8499999999999</v>
      </c>
      <c r="D31" s="88">
        <f t="shared" si="0"/>
        <v>2.2934659489729652E-2</v>
      </c>
      <c r="E31" s="53"/>
    </row>
    <row r="32" spans="1:5" ht="15.75" customHeight="1" x14ac:dyDescent="0.3">
      <c r="C32" s="95">
        <v>1033.03</v>
      </c>
      <c r="D32" s="88">
        <f t="shared" si="0"/>
        <v>-6.7000128846402343E-3</v>
      </c>
      <c r="E32" s="53"/>
    </row>
    <row r="33" spans="1:7" ht="15.75" customHeight="1" x14ac:dyDescent="0.3">
      <c r="C33" s="95">
        <v>1054.22</v>
      </c>
      <c r="D33" s="88">
        <f t="shared" si="0"/>
        <v>1.3675026298127476E-2</v>
      </c>
      <c r="E33" s="53"/>
    </row>
    <row r="34" spans="1:7" ht="15.75" customHeight="1" x14ac:dyDescent="0.3">
      <c r="C34" s="95">
        <v>1049.77</v>
      </c>
      <c r="D34" s="88">
        <f t="shared" si="0"/>
        <v>9.39617191571516E-3</v>
      </c>
      <c r="E34" s="53"/>
    </row>
    <row r="35" spans="1:7" ht="15.75" customHeight="1" x14ac:dyDescent="0.3">
      <c r="C35" s="95">
        <v>1071.52</v>
      </c>
      <c r="D35" s="88">
        <f t="shared" si="0"/>
        <v>3.0309673672449307E-2</v>
      </c>
      <c r="E35" s="53"/>
    </row>
    <row r="36" spans="1:7" ht="15.75" customHeight="1" x14ac:dyDescent="0.3">
      <c r="C36" s="95">
        <v>1027.3900000000001</v>
      </c>
      <c r="D36" s="88">
        <f t="shared" si="0"/>
        <v>-1.2123100236731172E-2</v>
      </c>
      <c r="E36" s="53"/>
    </row>
    <row r="37" spans="1:7" ht="15.75" customHeight="1" x14ac:dyDescent="0.3">
      <c r="C37" s="95">
        <v>1041.1400000000001</v>
      </c>
      <c r="D37" s="88">
        <f t="shared" si="0"/>
        <v>1.0980790347674251E-3</v>
      </c>
      <c r="E37" s="53"/>
    </row>
    <row r="38" spans="1:7" ht="15.75" customHeight="1" x14ac:dyDescent="0.3">
      <c r="C38" s="95">
        <v>1053.5999999999999</v>
      </c>
      <c r="D38" s="88">
        <f t="shared" si="0"/>
        <v>1.3078871305521609E-2</v>
      </c>
      <c r="E38" s="53"/>
    </row>
    <row r="39" spans="1:7" ht="15.75" customHeight="1" x14ac:dyDescent="0.3">
      <c r="C39" s="95">
        <v>1021.33</v>
      </c>
      <c r="D39" s="88">
        <f t="shared" si="0"/>
        <v>-1.7950034519297157E-2</v>
      </c>
      <c r="E39" s="53"/>
    </row>
    <row r="40" spans="1:7" ht="15.75" customHeight="1" x14ac:dyDescent="0.3">
      <c r="C40" s="95">
        <v>1037.1500000000001</v>
      </c>
      <c r="D40" s="88">
        <f t="shared" si="0"/>
        <v>-2.738466804743813E-3</v>
      </c>
      <c r="E40" s="53"/>
    </row>
    <row r="41" spans="1:7" ht="15.75" customHeight="1" x14ac:dyDescent="0.3">
      <c r="C41" s="95">
        <v>1039.44</v>
      </c>
      <c r="D41" s="88">
        <f t="shared" si="0"/>
        <v>-5.3653949334517249E-4</v>
      </c>
      <c r="E41" s="53"/>
    </row>
    <row r="42" spans="1:7" ht="15.75" customHeight="1" x14ac:dyDescent="0.3">
      <c r="C42" s="95">
        <v>1029.56</v>
      </c>
      <c r="D42" s="88">
        <f t="shared" si="0"/>
        <v>-1.0036557762611179E-2</v>
      </c>
      <c r="E42" s="53"/>
    </row>
    <row r="43" spans="1:7" ht="16.5" customHeight="1" x14ac:dyDescent="0.3">
      <c r="C43" s="96">
        <v>1043.25</v>
      </c>
      <c r="D43" s="89">
        <f t="shared" si="0"/>
        <v>3.1269290902482048E-3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20799.960000000003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1039.998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2">
        <f>C46</f>
        <v>1039.998</v>
      </c>
      <c r="C49" s="93">
        <f>-IF(C46&lt;=80,10%,IF(C46&lt;250,7.5%,5%))</f>
        <v>-0.05</v>
      </c>
      <c r="D49" s="81">
        <f>IF(C46&lt;=80,C46*0.9,IF(C46&lt;250,C46*0.925,C46*0.95))</f>
        <v>987.99810000000002</v>
      </c>
    </row>
    <row r="50" spans="1:6" ht="17.25" customHeight="1" x14ac:dyDescent="0.3">
      <c r="B50" s="463"/>
      <c r="C50" s="94">
        <f>IF(C46&lt;=80, 10%, IF(C46&lt;250, 7.5%, 5%))</f>
        <v>0.05</v>
      </c>
      <c r="D50" s="81">
        <f>IF(C46&lt;=80, C46*1.1, IF(C46&lt;250, C46*1.075, C46*1.05))</f>
        <v>1091.9979000000001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B24" sqref="B24:E29"/>
    </sheetView>
  </sheetViews>
  <sheetFormatPr defaultRowHeight="13.5" x14ac:dyDescent="0.25"/>
  <cols>
    <col min="1" max="1" width="27.5703125" style="401" customWidth="1"/>
    <col min="2" max="2" width="20.42578125" style="401" customWidth="1"/>
    <col min="3" max="3" width="31.85546875" style="401" customWidth="1"/>
    <col min="4" max="4" width="25.85546875" style="401" customWidth="1"/>
    <col min="5" max="5" width="25.7109375" style="401" customWidth="1"/>
    <col min="6" max="6" width="23.140625" style="401" customWidth="1"/>
    <col min="7" max="7" width="28.42578125" style="401" customWidth="1"/>
    <col min="8" max="8" width="21.5703125" style="401" customWidth="1"/>
    <col min="9" max="9" width="9.140625" style="40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128</v>
      </c>
      <c r="C18" s="72"/>
      <c r="D18" s="72"/>
      <c r="E18" s="72"/>
    </row>
    <row r="19" spans="1:5" ht="16.5" customHeight="1" x14ac:dyDescent="0.3">
      <c r="A19" s="75" t="s">
        <v>6</v>
      </c>
      <c r="B19" s="12">
        <v>86.6</v>
      </c>
      <c r="C19" s="72"/>
      <c r="D19" s="72"/>
      <c r="E19" s="72"/>
    </row>
    <row r="20" spans="1:5" ht="16.5" customHeight="1" x14ac:dyDescent="0.3">
      <c r="A20" s="8" t="s">
        <v>8</v>
      </c>
      <c r="B20" s="12">
        <v>28.39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0.5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122071912</v>
      </c>
      <c r="C24" s="18">
        <v>7167.1</v>
      </c>
      <c r="D24" s="19">
        <v>1.1000000000000001</v>
      </c>
      <c r="E24" s="20">
        <v>5.3</v>
      </c>
    </row>
    <row r="25" spans="1:5" ht="16.5" customHeight="1" x14ac:dyDescent="0.3">
      <c r="A25" s="17">
        <v>2</v>
      </c>
      <c r="B25" s="18">
        <v>122314291</v>
      </c>
      <c r="C25" s="18">
        <v>7182.3</v>
      </c>
      <c r="D25" s="19">
        <v>1</v>
      </c>
      <c r="E25" s="19">
        <v>5.3</v>
      </c>
    </row>
    <row r="26" spans="1:5" ht="16.5" customHeight="1" x14ac:dyDescent="0.3">
      <c r="A26" s="17">
        <v>3</v>
      </c>
      <c r="B26" s="18">
        <v>122420674</v>
      </c>
      <c r="C26" s="18">
        <v>7162.6</v>
      </c>
      <c r="D26" s="19">
        <v>1.1000000000000001</v>
      </c>
      <c r="E26" s="19">
        <v>5.2</v>
      </c>
    </row>
    <row r="27" spans="1:5" ht="16.5" customHeight="1" x14ac:dyDescent="0.3">
      <c r="A27" s="17">
        <v>4</v>
      </c>
      <c r="B27" s="18">
        <v>121968417</v>
      </c>
      <c r="C27" s="18">
        <v>7201.7</v>
      </c>
      <c r="D27" s="19">
        <v>1.1000000000000001</v>
      </c>
      <c r="E27" s="19">
        <v>5.2</v>
      </c>
    </row>
    <row r="28" spans="1:5" ht="16.5" customHeight="1" x14ac:dyDescent="0.3">
      <c r="A28" s="17">
        <v>5</v>
      </c>
      <c r="B28" s="18">
        <v>122791982</v>
      </c>
      <c r="C28" s="18">
        <v>7215</v>
      </c>
      <c r="D28" s="19">
        <v>1.1000000000000001</v>
      </c>
      <c r="E28" s="19">
        <v>5.2</v>
      </c>
    </row>
    <row r="29" spans="1:5" ht="16.5" customHeight="1" x14ac:dyDescent="0.3">
      <c r="A29" s="17">
        <v>6</v>
      </c>
      <c r="B29" s="21">
        <v>122533821</v>
      </c>
      <c r="C29" s="21">
        <v>7242.6</v>
      </c>
      <c r="D29" s="22">
        <v>1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122350182.83333333</v>
      </c>
      <c r="C30" s="25">
        <f>AVERAGE(C24:C29)</f>
        <v>7195.2166666666662</v>
      </c>
      <c r="D30" s="26">
        <f>AVERAGE(D24:D29)</f>
        <v>1.0666666666666667</v>
      </c>
      <c r="E30" s="26">
        <f>AVERAGE(E24:E29)</f>
        <v>5.2333333333333334</v>
      </c>
    </row>
    <row r="31" spans="1:5" ht="16.5" customHeight="1" x14ac:dyDescent="0.3">
      <c r="A31" s="27" t="s">
        <v>19</v>
      </c>
      <c r="B31" s="28">
        <f>(STDEV(B24:B29)/B30)</f>
        <v>2.4746132991900812E-3</v>
      </c>
      <c r="C31" s="29"/>
      <c r="D31" s="29"/>
      <c r="E31" s="30"/>
    </row>
    <row r="32" spans="1:5" s="40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1" customFormat="1" ht="15.75" customHeight="1" x14ac:dyDescent="0.25">
      <c r="A33" s="72"/>
      <c r="B33" s="72"/>
      <c r="C33" s="72"/>
      <c r="D33" s="72"/>
      <c r="E33" s="72"/>
    </row>
    <row r="34" spans="1:5" s="40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128</v>
      </c>
      <c r="C39" s="72"/>
      <c r="D39" s="72"/>
      <c r="E39" s="72"/>
    </row>
    <row r="40" spans="1:5" ht="16.5" customHeight="1" x14ac:dyDescent="0.3">
      <c r="A40" s="75" t="s">
        <v>6</v>
      </c>
      <c r="B40" s="12">
        <v>86.6</v>
      </c>
      <c r="C40" s="72"/>
      <c r="D40" s="72"/>
      <c r="E40" s="72"/>
    </row>
    <row r="41" spans="1:5" ht="16.5" customHeight="1" x14ac:dyDescent="0.3">
      <c r="A41" s="8" t="s">
        <v>8</v>
      </c>
      <c r="B41" s="12">
        <v>26.66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0.5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120519199</v>
      </c>
      <c r="C45" s="18">
        <v>10599.19</v>
      </c>
      <c r="D45" s="19">
        <v>0.98</v>
      </c>
      <c r="E45" s="20">
        <v>7.12</v>
      </c>
    </row>
    <row r="46" spans="1:5" ht="16.5" customHeight="1" x14ac:dyDescent="0.3">
      <c r="A46" s="17">
        <v>2</v>
      </c>
      <c r="B46" s="18">
        <v>120658160</v>
      </c>
      <c r="C46" s="18">
        <v>10692.02</v>
      </c>
      <c r="D46" s="19">
        <v>0.96</v>
      </c>
      <c r="E46" s="19">
        <v>7.17</v>
      </c>
    </row>
    <row r="47" spans="1:5" ht="16.5" customHeight="1" x14ac:dyDescent="0.3">
      <c r="A47" s="17">
        <v>3</v>
      </c>
      <c r="B47" s="18">
        <v>121158802</v>
      </c>
      <c r="C47" s="18">
        <v>10745.31</v>
      </c>
      <c r="D47" s="19">
        <v>0.98</v>
      </c>
      <c r="E47" s="19">
        <v>7.18</v>
      </c>
    </row>
    <row r="48" spans="1:5" ht="16.5" customHeight="1" x14ac:dyDescent="0.3">
      <c r="A48" s="17">
        <v>4</v>
      </c>
      <c r="B48" s="18">
        <v>121367124</v>
      </c>
      <c r="C48" s="18">
        <v>10760.27</v>
      </c>
      <c r="D48" s="19">
        <v>0.97</v>
      </c>
      <c r="E48" s="19">
        <v>7.19</v>
      </c>
    </row>
    <row r="49" spans="1:7" ht="16.5" customHeight="1" x14ac:dyDescent="0.3">
      <c r="A49" s="17">
        <v>5</v>
      </c>
      <c r="B49" s="18">
        <v>120635260</v>
      </c>
      <c r="C49" s="18">
        <v>10762.48</v>
      </c>
      <c r="D49" s="19">
        <v>0.99</v>
      </c>
      <c r="E49" s="19">
        <v>7.2</v>
      </c>
    </row>
    <row r="50" spans="1:7" ht="16.5" customHeight="1" x14ac:dyDescent="0.3">
      <c r="A50" s="17">
        <v>6</v>
      </c>
      <c r="B50" s="21">
        <v>120574520</v>
      </c>
      <c r="C50" s="21">
        <v>10760.19</v>
      </c>
      <c r="D50" s="22">
        <v>0.98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120818844.16666667</v>
      </c>
      <c r="C51" s="25">
        <f>AVERAGE(C45:C50)</f>
        <v>10719.909999999998</v>
      </c>
      <c r="D51" s="26">
        <f>AVERAGE(D45:D50)</f>
        <v>0.97666666666666657</v>
      </c>
      <c r="E51" s="26">
        <f>AVERAGE(E45:E50)</f>
        <v>7.1766666666666667</v>
      </c>
    </row>
    <row r="52" spans="1:7" ht="16.5" customHeight="1" x14ac:dyDescent="0.3">
      <c r="A52" s="27" t="s">
        <v>19</v>
      </c>
      <c r="B52" s="28">
        <f>(STDEV(B45:B50)/B51)</f>
        <v>2.9267458040827762E-3</v>
      </c>
      <c r="C52" s="29"/>
      <c r="D52" s="29"/>
      <c r="E52" s="30"/>
    </row>
    <row r="53" spans="1:7" s="40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1" customFormat="1" ht="15.75" customHeight="1" x14ac:dyDescent="0.25">
      <c r="A54" s="72"/>
      <c r="B54" s="72"/>
      <c r="C54" s="72"/>
      <c r="D54" s="72"/>
      <c r="E54" s="72"/>
    </row>
    <row r="55" spans="1:7" s="40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25"/>
      <c r="D58" s="43"/>
      <c r="F58" s="44"/>
      <c r="G58" s="44"/>
    </row>
    <row r="59" spans="1:7" ht="15" customHeight="1" x14ac:dyDescent="0.3">
      <c r="B59" s="461" t="s">
        <v>26</v>
      </c>
      <c r="C59" s="461"/>
      <c r="E59" s="452" t="s">
        <v>27</v>
      </c>
      <c r="F59" s="46"/>
      <c r="G59" s="452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workbookViewId="0">
      <selection activeCell="F51" sqref="F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96.4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20.329999999999998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0.125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129</v>
      </c>
    </row>
    <row r="24" spans="1:6" ht="16.5" customHeight="1" x14ac:dyDescent="0.3">
      <c r="A24" s="17">
        <v>1</v>
      </c>
      <c r="B24" s="18">
        <v>34907913</v>
      </c>
      <c r="C24" s="18">
        <v>9632.5</v>
      </c>
      <c r="D24" s="19">
        <v>1.2</v>
      </c>
      <c r="E24" s="20">
        <v>3.5</v>
      </c>
      <c r="F24" s="20">
        <v>9</v>
      </c>
    </row>
    <row r="25" spans="1:6" ht="16.5" customHeight="1" x14ac:dyDescent="0.3">
      <c r="A25" s="17">
        <v>2</v>
      </c>
      <c r="B25" s="18">
        <v>34927221</v>
      </c>
      <c r="C25" s="18">
        <v>9582.6</v>
      </c>
      <c r="D25" s="19">
        <v>1.2</v>
      </c>
      <c r="E25" s="19">
        <v>3.5</v>
      </c>
      <c r="F25" s="19">
        <v>9</v>
      </c>
    </row>
    <row r="26" spans="1:6" ht="16.5" customHeight="1" x14ac:dyDescent="0.3">
      <c r="A26" s="17">
        <v>3</v>
      </c>
      <c r="B26" s="18">
        <v>34985237</v>
      </c>
      <c r="C26" s="18">
        <v>9598.7000000000007</v>
      </c>
      <c r="D26" s="19">
        <v>1.2</v>
      </c>
      <c r="E26" s="19">
        <v>3.5</v>
      </c>
      <c r="F26" s="19">
        <v>9</v>
      </c>
    </row>
    <row r="27" spans="1:6" ht="16.5" customHeight="1" x14ac:dyDescent="0.3">
      <c r="A27" s="17">
        <v>4</v>
      </c>
      <c r="B27" s="18">
        <v>34854448</v>
      </c>
      <c r="C27" s="18">
        <v>9686</v>
      </c>
      <c r="D27" s="19">
        <v>1.2</v>
      </c>
      <c r="E27" s="19">
        <v>3.5</v>
      </c>
      <c r="F27" s="19">
        <v>9</v>
      </c>
    </row>
    <row r="28" spans="1:6" ht="16.5" customHeight="1" x14ac:dyDescent="0.3">
      <c r="A28" s="17">
        <v>5</v>
      </c>
      <c r="B28" s="18">
        <v>34962704</v>
      </c>
      <c r="C28" s="18">
        <v>9720.7000000000007</v>
      </c>
      <c r="D28" s="19">
        <v>1.2</v>
      </c>
      <c r="E28" s="19">
        <v>3.5</v>
      </c>
      <c r="F28" s="19">
        <v>9</v>
      </c>
    </row>
    <row r="29" spans="1:6" ht="16.5" customHeight="1" x14ac:dyDescent="0.3">
      <c r="A29" s="17">
        <v>6</v>
      </c>
      <c r="B29" s="21">
        <v>34859720</v>
      </c>
      <c r="C29" s="21">
        <v>9874</v>
      </c>
      <c r="D29" s="22">
        <v>1.2</v>
      </c>
      <c r="E29" s="22">
        <v>3.5</v>
      </c>
      <c r="F29" s="22">
        <v>9</v>
      </c>
    </row>
    <row r="30" spans="1:6" ht="16.5" customHeight="1" x14ac:dyDescent="0.3">
      <c r="A30" s="23" t="s">
        <v>18</v>
      </c>
      <c r="B30" s="24">
        <f>AVERAGE(B24:B29)</f>
        <v>34916207.166666664</v>
      </c>
      <c r="C30" s="25">
        <f>AVERAGE(C24:C29)</f>
        <v>9682.4166666666661</v>
      </c>
      <c r="D30" s="26">
        <f>AVERAGE(D24:D29)</f>
        <v>1.2</v>
      </c>
      <c r="E30" s="26">
        <f>AVERAGE(E24:E29)</f>
        <v>3.5</v>
      </c>
      <c r="F30" s="26">
        <f>AVERAGE(F24:F29)</f>
        <v>9</v>
      </c>
    </row>
    <row r="31" spans="1:6" ht="16.5" customHeight="1" x14ac:dyDescent="0.3">
      <c r="A31" s="27" t="s">
        <v>19</v>
      </c>
      <c r="B31" s="28">
        <f>(STDEV(B24:B29)/B30)</f>
        <v>1.5220838890965377E-3</v>
      </c>
      <c r="C31" s="29"/>
      <c r="D31" s="29"/>
      <c r="E31" s="30"/>
      <c r="F31" s="30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  <c r="F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16" t="s">
        <v>129</v>
      </c>
    </row>
    <row r="45" spans="1:6" ht="16.5" customHeight="1" x14ac:dyDescent="0.3">
      <c r="A45" s="17">
        <v>1</v>
      </c>
      <c r="B45" s="18">
        <v>39331054</v>
      </c>
      <c r="C45" s="18">
        <v>11990.74</v>
      </c>
      <c r="D45" s="19">
        <v>1.19</v>
      </c>
      <c r="E45" s="20">
        <v>5.04</v>
      </c>
      <c r="F45" s="20">
        <v>9.0399999999999991</v>
      </c>
    </row>
    <row r="46" spans="1:6" ht="16.5" customHeight="1" x14ac:dyDescent="0.3">
      <c r="A46" s="17">
        <v>2</v>
      </c>
      <c r="B46" s="18">
        <v>39187212</v>
      </c>
      <c r="C46" s="18">
        <v>11852.69</v>
      </c>
      <c r="D46" s="19">
        <v>1.18</v>
      </c>
      <c r="E46" s="19">
        <v>5.07</v>
      </c>
      <c r="F46" s="19">
        <v>9.0399999999999991</v>
      </c>
    </row>
    <row r="47" spans="1:6" ht="16.5" customHeight="1" x14ac:dyDescent="0.3">
      <c r="A47" s="17">
        <v>3</v>
      </c>
      <c r="B47" s="18">
        <v>39165231</v>
      </c>
      <c r="C47" s="18">
        <v>11798.91</v>
      </c>
      <c r="D47" s="19">
        <v>1.17</v>
      </c>
      <c r="E47" s="19">
        <v>5.09</v>
      </c>
      <c r="F47" s="19">
        <v>9.0299999999999994</v>
      </c>
    </row>
    <row r="48" spans="1:6" ht="16.5" customHeight="1" x14ac:dyDescent="0.3">
      <c r="A48" s="17">
        <v>4</v>
      </c>
      <c r="B48" s="18">
        <v>39221936</v>
      </c>
      <c r="C48" s="18">
        <v>11883.45</v>
      </c>
      <c r="D48" s="19">
        <v>1.18</v>
      </c>
      <c r="E48" s="19">
        <v>5.09</v>
      </c>
      <c r="F48" s="19">
        <v>9.0500000000000007</v>
      </c>
    </row>
    <row r="49" spans="1:7" ht="16.5" customHeight="1" x14ac:dyDescent="0.3">
      <c r="A49" s="17">
        <v>5</v>
      </c>
      <c r="B49" s="18">
        <v>38952159</v>
      </c>
      <c r="C49" s="18">
        <v>11907.67</v>
      </c>
      <c r="D49" s="19">
        <v>1.19</v>
      </c>
      <c r="E49" s="19">
        <v>5.0999999999999996</v>
      </c>
      <c r="F49" s="19">
        <v>9.0500000000000007</v>
      </c>
    </row>
    <row r="50" spans="1:7" ht="16.5" customHeight="1" x14ac:dyDescent="0.3">
      <c r="A50" s="17">
        <v>6</v>
      </c>
      <c r="B50" s="21">
        <v>38985268</v>
      </c>
      <c r="C50" s="21">
        <v>11824.08</v>
      </c>
      <c r="D50" s="22">
        <v>1.1399999999999999</v>
      </c>
      <c r="E50" s="22">
        <v>5.1100000000000003</v>
      </c>
      <c r="F50" s="22">
        <v>9.01</v>
      </c>
    </row>
    <row r="51" spans="1:7" ht="16.5" customHeight="1" x14ac:dyDescent="0.3">
      <c r="A51" s="23" t="s">
        <v>18</v>
      </c>
      <c r="B51" s="24">
        <f>AVERAGE(B45:B50)</f>
        <v>39140476.666666664</v>
      </c>
      <c r="C51" s="25">
        <f>AVERAGE(C45:C50)</f>
        <v>11876.256666666666</v>
      </c>
      <c r="D51" s="26">
        <f>AVERAGE(D45:D50)</f>
        <v>1.175</v>
      </c>
      <c r="E51" s="26">
        <f>AVERAGE(E45:E50)</f>
        <v>5.083333333333333</v>
      </c>
      <c r="F51" s="26">
        <f>AVERAGE(F45:F50)</f>
        <v>9.0366666666666653</v>
      </c>
    </row>
    <row r="52" spans="1:7" ht="16.5" customHeight="1" x14ac:dyDescent="0.3">
      <c r="A52" s="27" t="s">
        <v>19</v>
      </c>
      <c r="B52" s="28">
        <f>(STDEV(B45:B50)/B51)</f>
        <v>3.7077854029088459E-3</v>
      </c>
      <c r="C52" s="29"/>
      <c r="D52" s="29"/>
      <c r="E52" s="30"/>
      <c r="F52" s="30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  <c r="F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1" t="s">
        <v>26</v>
      </c>
      <c r="C59" s="46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5" zoomScale="60" zoomScaleNormal="40" zoomScalePageLayoutView="50" workbookViewId="0">
      <selection activeCell="F67" sqref="F6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45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46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98"/>
    </row>
    <row r="16" spans="1:9" ht="19.5" customHeight="1" x14ac:dyDescent="0.3">
      <c r="A16" s="504" t="s">
        <v>31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47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100" t="s">
        <v>33</v>
      </c>
      <c r="B18" s="503" t="s">
        <v>5</v>
      </c>
      <c r="C18" s="503"/>
      <c r="D18" s="259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08" t="s">
        <v>9</v>
      </c>
      <c r="C20" s="50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08" t="s">
        <v>11</v>
      </c>
      <c r="C21" s="508"/>
      <c r="D21" s="508"/>
      <c r="E21" s="508"/>
      <c r="F21" s="508"/>
      <c r="G21" s="508"/>
      <c r="H21" s="508"/>
      <c r="I21" s="104"/>
    </row>
    <row r="22" spans="1:14" ht="26.25" customHeight="1" x14ac:dyDescent="0.4">
      <c r="A22" s="100" t="s">
        <v>37</v>
      </c>
      <c r="B22" s="105"/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3" t="s">
        <v>125</v>
      </c>
      <c r="C26" s="503"/>
    </row>
    <row r="27" spans="1:14" ht="26.25" customHeight="1" x14ac:dyDescent="0.4">
      <c r="A27" s="109" t="s">
        <v>48</v>
      </c>
      <c r="B27" s="501"/>
      <c r="C27" s="501"/>
    </row>
    <row r="28" spans="1:14" ht="27" customHeight="1" x14ac:dyDescent="0.4">
      <c r="A28" s="109" t="s">
        <v>6</v>
      </c>
      <c r="B28" s="110">
        <v>86.6</v>
      </c>
    </row>
    <row r="29" spans="1:14" s="14" customFormat="1" ht="27" customHeight="1" x14ac:dyDescent="0.4">
      <c r="A29" s="109" t="s">
        <v>49</v>
      </c>
      <c r="B29" s="111"/>
      <c r="C29" s="478" t="s">
        <v>50</v>
      </c>
      <c r="D29" s="479"/>
      <c r="E29" s="479"/>
      <c r="F29" s="479"/>
      <c r="G29" s="48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86.6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1" t="s">
        <v>53</v>
      </c>
      <c r="D31" s="482"/>
      <c r="E31" s="482"/>
      <c r="F31" s="482"/>
      <c r="G31" s="482"/>
      <c r="H31" s="48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1" t="s">
        <v>55</v>
      </c>
      <c r="D32" s="482"/>
      <c r="E32" s="482"/>
      <c r="F32" s="482"/>
      <c r="G32" s="482"/>
      <c r="H32" s="48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484" t="s">
        <v>59</v>
      </c>
      <c r="E36" s="502"/>
      <c r="F36" s="484" t="s">
        <v>60</v>
      </c>
      <c r="G36" s="48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25</v>
      </c>
      <c r="C38" s="131">
        <v>1</v>
      </c>
      <c r="D38" s="132">
        <v>119486716</v>
      </c>
      <c r="E38" s="133">
        <f>IF(ISBLANK(D38),"-",$D$48/$D$45*D38)</f>
        <v>121500019.93025225</v>
      </c>
      <c r="F38" s="132"/>
      <c r="G38" s="134" t="str">
        <f>IF(ISBLANK(F38),"-",$D$48/$F$45*F38)</f>
        <v>-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118884487</v>
      </c>
      <c r="E39" s="138">
        <f>IF(ISBLANK(D39),"-",$D$48/$D$45*D39)</f>
        <v>120887643.60966967</v>
      </c>
      <c r="F39" s="137">
        <v>115693147</v>
      </c>
      <c r="G39" s="139">
        <f>IF(ISBLANK(F39),"-",$D$48/$F$45*F39)</f>
        <v>120529464.06321496</v>
      </c>
      <c r="I39" s="486">
        <f>ABS((F43/D43*D42)-F42)/D42</f>
        <v>2.8726851879071185E-3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119086769</v>
      </c>
      <c r="E40" s="138">
        <f>IF(ISBLANK(D40),"-",$D$48/$D$45*D40)</f>
        <v>121093333.98140548</v>
      </c>
      <c r="F40" s="137">
        <v>115954926</v>
      </c>
      <c r="G40" s="139">
        <f>IF(ISBLANK(F40),"-",$D$48/$F$45*F40)</f>
        <v>120802186.20269488</v>
      </c>
      <c r="I40" s="48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>
        <v>119988697</v>
      </c>
      <c r="E41" s="143">
        <f>IF(ISBLANK(D41),"-",$D$48/$D$45*D41)</f>
        <v>122010459.11166391</v>
      </c>
      <c r="F41" s="142">
        <v>116831377</v>
      </c>
      <c r="G41" s="144">
        <f>IF(ISBLANK(F41),"-",$D$48/$F$45*F41)</f>
        <v>121715275.4568723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119361667.25</v>
      </c>
      <c r="E42" s="148">
        <f>AVERAGE(E38:E41)</f>
        <v>121372864.15824783</v>
      </c>
      <c r="F42" s="147">
        <f>AVERAGE(F38:F41)</f>
        <v>116159816.66666667</v>
      </c>
      <c r="G42" s="149">
        <f>AVERAGE(G38:G41)</f>
        <v>121015641.90759404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28.39</v>
      </c>
      <c r="E43" s="140"/>
      <c r="F43" s="152">
        <v>27.71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28.39</v>
      </c>
      <c r="E44" s="155"/>
      <c r="F44" s="154">
        <f>F43*$B$34</f>
        <v>27.71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24.585740000000001</v>
      </c>
      <c r="E45" s="158"/>
      <c r="F45" s="157">
        <f>F44*$B$30/100</f>
        <v>23.996859999999998</v>
      </c>
      <c r="H45" s="150"/>
    </row>
    <row r="46" spans="1:14" ht="19.5" customHeight="1" x14ac:dyDescent="0.3">
      <c r="A46" s="472" t="s">
        <v>78</v>
      </c>
      <c r="B46" s="473"/>
      <c r="C46" s="153" t="s">
        <v>79</v>
      </c>
      <c r="D46" s="159">
        <f>D45/$B$45</f>
        <v>0.49171480000000001</v>
      </c>
      <c r="E46" s="160"/>
      <c r="F46" s="161">
        <f>F45/$B$45</f>
        <v>0.47993719999999995</v>
      </c>
      <c r="H46" s="150"/>
    </row>
    <row r="47" spans="1:14" ht="27" customHeight="1" x14ac:dyDescent="0.4">
      <c r="A47" s="474"/>
      <c r="B47" s="475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121219768.90796766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4.4251460378198406E-3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7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Amoxicillin Trihydrate USP eq. to Amoxicillin 500mg
Diluted Potassium Clavulanate BP eq. to Clavulanic acid 125mg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Amoxicillin &amp; Clavulanic Acid</v>
      </c>
      <c r="H56" s="179"/>
    </row>
    <row r="57" spans="1:12" ht="18.75" x14ac:dyDescent="0.3">
      <c r="A57" s="176" t="s">
        <v>88</v>
      </c>
      <c r="B57" s="260">
        <f>Uniformity!C46</f>
        <v>1039.998</v>
      </c>
      <c r="H57" s="179"/>
    </row>
    <row r="58" spans="1:12" ht="19.5" customHeight="1" thickBot="1" x14ac:dyDescent="0.35">
      <c r="H58" s="179"/>
    </row>
    <row r="59" spans="1:12" s="14" customFormat="1" ht="27" customHeight="1" thickBo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453" t="s">
        <v>91</v>
      </c>
      <c r="H59" s="509" t="s">
        <v>92</v>
      </c>
      <c r="I59" s="454"/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89" t="s">
        <v>94</v>
      </c>
      <c r="D60" s="492">
        <v>109.87</v>
      </c>
      <c r="E60" s="182">
        <v>1</v>
      </c>
      <c r="F60" s="183">
        <v>125715813</v>
      </c>
      <c r="G60" s="261">
        <f>IF(ISBLANK(F60),"-",(F60/$D$50*$D$47*$B$68)*($B$57/$D$60))</f>
        <v>490.83987912303911</v>
      </c>
      <c r="H60" s="510">
        <f t="shared" ref="H60:H69" si="0">IF(ISBLANK(F60),"-",G60/$B$56)</f>
        <v>0.98167975824607823</v>
      </c>
      <c r="I60" s="454"/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0"/>
      <c r="D61" s="493"/>
      <c r="E61" s="184">
        <v>2</v>
      </c>
      <c r="F61" s="137">
        <v>125625872</v>
      </c>
      <c r="G61" s="262">
        <f>IF(ISBLANK(F61),"-",(F61/$D$50*$D$47*$B$68)*($B$57/$D$60))</f>
        <v>490.4887170176944</v>
      </c>
      <c r="H61" s="511">
        <f t="shared" si="0"/>
        <v>0.98097743403538884</v>
      </c>
      <c r="I61" s="454"/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0"/>
      <c r="D62" s="493"/>
      <c r="E62" s="184">
        <v>3</v>
      </c>
      <c r="F62" s="186">
        <v>125708454</v>
      </c>
      <c r="G62" s="262">
        <f>IF(ISBLANK(F62),"-",(F62/$D$50*$D$47*$B$68)*($B$57/$D$60))</f>
        <v>490.81114693267847</v>
      </c>
      <c r="H62" s="511">
        <f t="shared" si="0"/>
        <v>0.98162229386535693</v>
      </c>
      <c r="I62" s="454"/>
      <c r="L62" s="112"/>
    </row>
    <row r="63" spans="1:12" ht="27" customHeight="1" thickBot="1" x14ac:dyDescent="0.45">
      <c r="A63" s="124" t="s">
        <v>97</v>
      </c>
      <c r="B63" s="125">
        <v>1</v>
      </c>
      <c r="C63" s="500"/>
      <c r="D63" s="494"/>
      <c r="E63" s="187">
        <v>4</v>
      </c>
      <c r="F63" s="188"/>
      <c r="G63" s="262" t="str">
        <f>IF(ISBLANK(F63),"-",(F63/$D$50*$D$47*$B$68)*($B$57/$D$60))</f>
        <v>-</v>
      </c>
      <c r="H63" s="512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89" t="s">
        <v>99</v>
      </c>
      <c r="D64" s="492">
        <v>134.59</v>
      </c>
      <c r="E64" s="182">
        <v>1</v>
      </c>
      <c r="F64" s="183">
        <v>153944788</v>
      </c>
      <c r="G64" s="440">
        <f>IF(ISBLANK(F64),"-",(F64/$D$50*$D$47*$B$68)*($B$57/$D$64))</f>
        <v>490.66067670939009</v>
      </c>
      <c r="H64" s="510">
        <f t="shared" si="0"/>
        <v>0.98132135341878013</v>
      </c>
    </row>
    <row r="65" spans="1:8" ht="26.25" customHeight="1" x14ac:dyDescent="0.4">
      <c r="A65" s="124" t="s">
        <v>100</v>
      </c>
      <c r="B65" s="125">
        <v>1</v>
      </c>
      <c r="C65" s="490"/>
      <c r="D65" s="493"/>
      <c r="E65" s="184">
        <v>2</v>
      </c>
      <c r="F65" s="137">
        <v>154489747</v>
      </c>
      <c r="G65" s="441">
        <f>IF(ISBLANK(F65),"-",(F65/$D$50*$D$47*$B$68)*($B$57/$D$64))</f>
        <v>492.39759781722825</v>
      </c>
      <c r="H65" s="511">
        <f t="shared" si="0"/>
        <v>0.9847951956344565</v>
      </c>
    </row>
    <row r="66" spans="1:8" ht="26.25" customHeight="1" x14ac:dyDescent="0.4">
      <c r="A66" s="124" t="s">
        <v>101</v>
      </c>
      <c r="B66" s="125">
        <v>1</v>
      </c>
      <c r="C66" s="490"/>
      <c r="D66" s="493"/>
      <c r="E66" s="184">
        <v>3</v>
      </c>
      <c r="F66" s="137">
        <v>153984268</v>
      </c>
      <c r="G66" s="441">
        <f>IF(ISBLANK(F66),"-",(F66/$D$50*$D$47*$B$68)*($B$57/$D$64))</f>
        <v>490.78650937815496</v>
      </c>
      <c r="H66" s="511">
        <f t="shared" si="0"/>
        <v>0.98157301875630987</v>
      </c>
    </row>
    <row r="67" spans="1:8" ht="27" customHeight="1" thickBot="1" x14ac:dyDescent="0.45">
      <c r="A67" s="124" t="s">
        <v>102</v>
      </c>
      <c r="B67" s="125">
        <v>1</v>
      </c>
      <c r="C67" s="500"/>
      <c r="D67" s="494"/>
      <c r="E67" s="187">
        <v>4</v>
      </c>
      <c r="F67" s="188"/>
      <c r="G67" s="455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124" t="s">
        <v>103</v>
      </c>
      <c r="B68" s="189">
        <f>(B67/B66)*(B65/B64)*(B63/B62)*(B61/B60)*B59</f>
        <v>100</v>
      </c>
      <c r="C68" s="489" t="s">
        <v>104</v>
      </c>
      <c r="D68" s="492">
        <v>162.06</v>
      </c>
      <c r="E68" s="182">
        <v>1</v>
      </c>
      <c r="F68" s="183">
        <v>185047508</v>
      </c>
      <c r="G68" s="263">
        <f>IF(ISBLANK(F68),"-",(F68/$D$50*$D$47*$B$68)*($B$57/$D$68))</f>
        <v>489.81994256841722</v>
      </c>
      <c r="H68" s="361">
        <f t="shared" si="0"/>
        <v>0.97963988513683442</v>
      </c>
    </row>
    <row r="69" spans="1:8" ht="27" customHeight="1" thickBot="1" x14ac:dyDescent="0.45">
      <c r="A69" s="172" t="s">
        <v>105</v>
      </c>
      <c r="B69" s="190">
        <f>(D47*B68)/B56*B57</f>
        <v>103.99980000000001</v>
      </c>
      <c r="C69" s="490"/>
      <c r="D69" s="493"/>
      <c r="E69" s="184">
        <v>2</v>
      </c>
      <c r="F69" s="137">
        <v>186319772</v>
      </c>
      <c r="G69" s="264">
        <f>IF(ISBLANK(F69),"-",(F69/$D$50*$D$47*$B$68)*($B$57/$D$68))</f>
        <v>493.18761979977921</v>
      </c>
      <c r="H69" s="361">
        <f t="shared" si="0"/>
        <v>0.98637523959955842</v>
      </c>
    </row>
    <row r="70" spans="1:8" ht="26.25" customHeight="1" x14ac:dyDescent="0.4">
      <c r="A70" s="495" t="s">
        <v>78</v>
      </c>
      <c r="B70" s="496"/>
      <c r="C70" s="490"/>
      <c r="D70" s="493"/>
      <c r="E70" s="184">
        <v>3</v>
      </c>
      <c r="F70" s="137">
        <v>184353078</v>
      </c>
      <c r="G70" s="264">
        <f>IF(ISBLANK(F70),"-",(F70/$D$50*$D$47*$B$68)*($B$57/$D$68))</f>
        <v>487.98178940227041</v>
      </c>
      <c r="H70" s="185">
        <f t="shared" ref="H70:H71" si="1">IF(ISBLANK(F70),"-",G70/$B$56)</f>
        <v>0.97596357880454077</v>
      </c>
    </row>
    <row r="71" spans="1:8" ht="27" customHeight="1" x14ac:dyDescent="0.4">
      <c r="A71" s="497"/>
      <c r="B71" s="498"/>
      <c r="C71" s="491"/>
      <c r="D71" s="494"/>
      <c r="E71" s="187">
        <v>4</v>
      </c>
      <c r="F71" s="188"/>
      <c r="G71" s="265" t="str">
        <f>IF(ISBLANK(F71),"-",(F71/$D$50*$D$47*$B$68)*($B$57/$D$68))</f>
        <v>-</v>
      </c>
      <c r="H71" s="191" t="str">
        <f t="shared" si="1"/>
        <v>-</v>
      </c>
    </row>
    <row r="72" spans="1:8" ht="26.25" customHeight="1" x14ac:dyDescent="0.4">
      <c r="A72" s="192"/>
      <c r="B72" s="192"/>
      <c r="C72" s="192"/>
      <c r="D72" s="192"/>
      <c r="E72" s="192"/>
      <c r="F72" s="194" t="s">
        <v>71</v>
      </c>
      <c r="G72" s="270">
        <f>AVERAGE(G60:G71)</f>
        <v>490.77487541651692</v>
      </c>
      <c r="H72" s="195">
        <f>AVERAGE(H60:H71)</f>
        <v>0.98154975083303375</v>
      </c>
    </row>
    <row r="73" spans="1:8" ht="26.25" customHeight="1" x14ac:dyDescent="0.4">
      <c r="C73" s="192"/>
      <c r="D73" s="192"/>
      <c r="E73" s="192"/>
      <c r="F73" s="196" t="s">
        <v>84</v>
      </c>
      <c r="G73" s="266">
        <f>STDEV(G60:G71)/G72</f>
        <v>2.9936337119253788E-3</v>
      </c>
      <c r="H73" s="266">
        <f>STDEV(H60:H71)/H72</f>
        <v>2.9936337119253914E-3</v>
      </c>
    </row>
    <row r="74" spans="1:8" ht="27" customHeight="1" x14ac:dyDescent="0.4">
      <c r="A74" s="192"/>
      <c r="B74" s="192"/>
      <c r="C74" s="193"/>
      <c r="D74" s="193"/>
      <c r="E74" s="197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8" t="s">
        <v>106</v>
      </c>
      <c r="B76" s="200" t="s">
        <v>107</v>
      </c>
      <c r="C76" s="476" t="str">
        <f>B20</f>
        <v>Amoxicillin &amp; Clavulanic Acid</v>
      </c>
      <c r="D76" s="476"/>
      <c r="E76" s="201" t="s">
        <v>108</v>
      </c>
      <c r="F76" s="201"/>
      <c r="G76" s="202">
        <f>H72</f>
        <v>0.98154975083303375</v>
      </c>
      <c r="H76" s="203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9" t="str">
        <f>B26</f>
        <v>AMOXICILLIN TRIHYDRATE</v>
      </c>
      <c r="C79" s="499"/>
    </row>
    <row r="80" spans="1:8" ht="26.25" customHeight="1" x14ac:dyDescent="0.4">
      <c r="A80" s="109" t="s">
        <v>48</v>
      </c>
      <c r="B80" s="499">
        <f>B27</f>
        <v>0</v>
      </c>
      <c r="C80" s="499"/>
    </row>
    <row r="81" spans="1:12" ht="27" customHeight="1" x14ac:dyDescent="0.4">
      <c r="A81" s="109" t="s">
        <v>6</v>
      </c>
      <c r="B81" s="204">
        <v>86</v>
      </c>
    </row>
    <row r="82" spans="1:12" s="14" customFormat="1" ht="27" customHeight="1" x14ac:dyDescent="0.4">
      <c r="A82" s="109" t="s">
        <v>49</v>
      </c>
      <c r="B82" s="111">
        <v>0</v>
      </c>
      <c r="C82" s="478" t="s">
        <v>50</v>
      </c>
      <c r="D82" s="479"/>
      <c r="E82" s="479"/>
      <c r="F82" s="479"/>
      <c r="G82" s="48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86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1" t="s">
        <v>111</v>
      </c>
      <c r="D84" s="482"/>
      <c r="E84" s="482"/>
      <c r="F84" s="482"/>
      <c r="G84" s="482"/>
      <c r="H84" s="48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1" t="s">
        <v>112</v>
      </c>
      <c r="D85" s="482"/>
      <c r="E85" s="482"/>
      <c r="F85" s="482"/>
      <c r="G85" s="482"/>
      <c r="H85" s="48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5" t="s">
        <v>59</v>
      </c>
      <c r="E89" s="206"/>
      <c r="F89" s="484" t="s">
        <v>60</v>
      </c>
      <c r="G89" s="485"/>
    </row>
    <row r="90" spans="1:12" ht="27" customHeight="1" x14ac:dyDescent="0.4">
      <c r="A90" s="124" t="s">
        <v>61</v>
      </c>
      <c r="B90" s="125">
        <v>10</v>
      </c>
      <c r="C90" s="207" t="s">
        <v>62</v>
      </c>
      <c r="D90" s="127" t="s">
        <v>63</v>
      </c>
      <c r="E90" s="128" t="s">
        <v>64</v>
      </c>
      <c r="F90" s="127" t="s">
        <v>63</v>
      </c>
      <c r="G90" s="208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09">
        <v>1</v>
      </c>
      <c r="D91" s="132">
        <v>120973297</v>
      </c>
      <c r="E91" s="133">
        <f>IF(ISBLANK(D91),"-",$D$101/$D$98*D91)</f>
        <v>146564374.86309561</v>
      </c>
      <c r="F91" s="132">
        <v>130814033</v>
      </c>
      <c r="G91" s="134">
        <f>IF(ISBLANK(F91),"-",$D$101/$F$98*F91)</f>
        <v>145197919.71904776</v>
      </c>
      <c r="I91" s="135"/>
    </row>
    <row r="92" spans="1:12" ht="26.25" customHeight="1" x14ac:dyDescent="0.4">
      <c r="A92" s="124" t="s">
        <v>67</v>
      </c>
      <c r="B92" s="125">
        <v>1</v>
      </c>
      <c r="C92" s="193">
        <v>2</v>
      </c>
      <c r="D92" s="137">
        <v>120873903</v>
      </c>
      <c r="E92" s="138">
        <f>IF(ISBLANK(D92),"-",$D$101/$D$98*D92)</f>
        <v>146443954.73868465</v>
      </c>
      <c r="F92" s="137">
        <v>130780098</v>
      </c>
      <c r="G92" s="139">
        <f>IF(ISBLANK(F92),"-",$D$101/$F$98*F92)</f>
        <v>145160253.33653</v>
      </c>
      <c r="I92" s="486">
        <f>ABS((F96/D96*D95)-F95)/D95</f>
        <v>8.2615494826773234E-3</v>
      </c>
    </row>
    <row r="93" spans="1:12" ht="26.25" customHeight="1" x14ac:dyDescent="0.4">
      <c r="A93" s="124" t="s">
        <v>68</v>
      </c>
      <c r="B93" s="125">
        <v>1</v>
      </c>
      <c r="C93" s="193">
        <v>3</v>
      </c>
      <c r="D93" s="137">
        <v>121398382</v>
      </c>
      <c r="E93" s="138">
        <f>IF(ISBLANK(D93),"-",$D$101/$D$98*D93)</f>
        <v>147079383.70251477</v>
      </c>
      <c r="F93" s="137">
        <v>131118429</v>
      </c>
      <c r="G93" s="139">
        <f>IF(ISBLANK(F93),"-",$D$101/$F$98*F93)</f>
        <v>145535786.11577293</v>
      </c>
      <c r="I93" s="486"/>
    </row>
    <row r="94" spans="1:12" ht="27" customHeight="1" x14ac:dyDescent="0.4">
      <c r="A94" s="124" t="s">
        <v>69</v>
      </c>
      <c r="B94" s="125">
        <v>1</v>
      </c>
      <c r="C94" s="210">
        <v>4</v>
      </c>
      <c r="D94" s="142">
        <v>120307472</v>
      </c>
      <c r="E94" s="143">
        <f>IF(ISBLANK(D94),"-",$D$101/$D$98*D94)</f>
        <v>145757699.11470115</v>
      </c>
      <c r="F94" s="459">
        <v>131101765</v>
      </c>
      <c r="G94" s="144"/>
      <c r="I94" s="145"/>
    </row>
    <row r="95" spans="1:12" ht="27" customHeight="1" x14ac:dyDescent="0.4">
      <c r="A95" s="124" t="s">
        <v>70</v>
      </c>
      <c r="B95" s="125">
        <v>1</v>
      </c>
      <c r="C95" s="211" t="s">
        <v>71</v>
      </c>
      <c r="D95" s="212">
        <f>AVERAGE(D91:D94)</f>
        <v>120888263.5</v>
      </c>
      <c r="E95" s="148">
        <f>AVERAGE(E91:E94)</f>
        <v>146461353.10474905</v>
      </c>
      <c r="F95" s="213">
        <f>AVERAGE(F91:F94)</f>
        <v>130953581.25</v>
      </c>
      <c r="G95" s="214">
        <f>AVERAGE(G91:G94)</f>
        <v>145297986.39045024</v>
      </c>
    </row>
    <row r="96" spans="1:12" ht="26.25" customHeight="1" x14ac:dyDescent="0.4">
      <c r="A96" s="124" t="s">
        <v>72</v>
      </c>
      <c r="B96" s="110">
        <v>1</v>
      </c>
      <c r="C96" s="215" t="s">
        <v>113</v>
      </c>
      <c r="D96" s="216">
        <v>26.66</v>
      </c>
      <c r="E96" s="140"/>
      <c r="F96" s="152">
        <v>29.1</v>
      </c>
    </row>
    <row r="97" spans="1:10" ht="26.25" customHeight="1" x14ac:dyDescent="0.4">
      <c r="A97" s="124" t="s">
        <v>74</v>
      </c>
      <c r="B97" s="110">
        <v>1</v>
      </c>
      <c r="C97" s="217" t="s">
        <v>114</v>
      </c>
      <c r="D97" s="218">
        <f>D96*$B$87</f>
        <v>26.66</v>
      </c>
      <c r="E97" s="155"/>
      <c r="F97" s="154">
        <f>F96*$B$87</f>
        <v>29.1</v>
      </c>
    </row>
    <row r="98" spans="1:10" ht="19.5" customHeight="1" x14ac:dyDescent="0.3">
      <c r="A98" s="124" t="s">
        <v>76</v>
      </c>
      <c r="B98" s="219">
        <f>(B97/B96)*(B95/B94)*(B93/B92)*(B91/B90)*B89</f>
        <v>50</v>
      </c>
      <c r="C98" s="217" t="s">
        <v>115</v>
      </c>
      <c r="D98" s="220">
        <f>D97*$B$83/100</f>
        <v>22.927600000000002</v>
      </c>
      <c r="E98" s="158"/>
      <c r="F98" s="157">
        <f>F97*$B$83/100</f>
        <v>25.026</v>
      </c>
    </row>
    <row r="99" spans="1:10" ht="19.5" customHeight="1" x14ac:dyDescent="0.3">
      <c r="A99" s="472" t="s">
        <v>78</v>
      </c>
      <c r="B99" s="487"/>
      <c r="C99" s="217" t="s">
        <v>116</v>
      </c>
      <c r="D99" s="221">
        <f>D98/$B$98</f>
        <v>0.45855200000000002</v>
      </c>
      <c r="E99" s="158"/>
      <c r="F99" s="161">
        <f>F98/$B$98</f>
        <v>0.50051999999999996</v>
      </c>
      <c r="G99" s="222"/>
      <c r="H99" s="150"/>
    </row>
    <row r="100" spans="1:10" ht="19.5" customHeight="1" x14ac:dyDescent="0.3">
      <c r="A100" s="474"/>
      <c r="B100" s="488"/>
      <c r="C100" s="217" t="s">
        <v>80</v>
      </c>
      <c r="D100" s="223">
        <f>$B$56/$B$116</f>
        <v>0.55555555555555558</v>
      </c>
      <c r="F100" s="166"/>
      <c r="G100" s="224"/>
      <c r="H100" s="150"/>
    </row>
    <row r="101" spans="1:10" ht="18.75" x14ac:dyDescent="0.3">
      <c r="C101" s="217" t="s">
        <v>81</v>
      </c>
      <c r="D101" s="218">
        <f>D100*$B$98</f>
        <v>27.777777777777779</v>
      </c>
      <c r="F101" s="166"/>
      <c r="G101" s="222"/>
      <c r="H101" s="150"/>
    </row>
    <row r="102" spans="1:10" ht="19.5" customHeight="1" x14ac:dyDescent="0.3">
      <c r="C102" s="225" t="s">
        <v>82</v>
      </c>
      <c r="D102" s="226">
        <f>D101/B34</f>
        <v>27.777777777777779</v>
      </c>
      <c r="F102" s="170"/>
      <c r="G102" s="222"/>
      <c r="H102" s="150"/>
      <c r="J102" s="227"/>
    </row>
    <row r="103" spans="1:10" ht="18.75" x14ac:dyDescent="0.3">
      <c r="C103" s="228" t="s">
        <v>117</v>
      </c>
      <c r="D103" s="229">
        <f>AVERAGE(E91:E94,G91:G94)</f>
        <v>145962767.37004957</v>
      </c>
      <c r="F103" s="170"/>
      <c r="G103" s="230"/>
      <c r="H103" s="150"/>
      <c r="J103" s="231"/>
    </row>
    <row r="104" spans="1:10" ht="18.75" x14ac:dyDescent="0.3">
      <c r="C104" s="196" t="s">
        <v>84</v>
      </c>
      <c r="D104" s="232">
        <f>STDEV(E91:E94,G91:G94)/D103</f>
        <v>5.0760249801727452E-3</v>
      </c>
      <c r="F104" s="170"/>
      <c r="G104" s="222"/>
      <c r="H104" s="150"/>
      <c r="J104" s="231"/>
    </row>
    <row r="105" spans="1:10" ht="19.5" customHeight="1" x14ac:dyDescent="0.3">
      <c r="C105" s="198" t="s">
        <v>20</v>
      </c>
      <c r="D105" s="233">
        <f>COUNT(E91:E94,G91:G94)</f>
        <v>7</v>
      </c>
      <c r="F105" s="170"/>
      <c r="G105" s="222"/>
      <c r="H105" s="150"/>
      <c r="J105" s="231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4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4" t="s">
        <v>122</v>
      </c>
      <c r="B108" s="125">
        <v>1</v>
      </c>
      <c r="C108" s="238">
        <v>1</v>
      </c>
      <c r="D108" s="239">
        <v>138877346</v>
      </c>
      <c r="E108" s="267">
        <f t="shared" ref="E108:E113" si="2">IF(ISBLANK(D108),"-",D108/$D$103*$D$100*$B$116)</f>
        <v>475.72866869505714</v>
      </c>
      <c r="F108" s="457">
        <f t="shared" ref="F108:F113" si="3">IF(ISBLANK(D108), "-", E108/$B$56)</f>
        <v>0.95145733739011429</v>
      </c>
    </row>
    <row r="109" spans="1:10" ht="26.25" customHeight="1" x14ac:dyDescent="0.4">
      <c r="A109" s="124" t="s">
        <v>95</v>
      </c>
      <c r="B109" s="125">
        <v>1</v>
      </c>
      <c r="C109" s="238">
        <v>2</v>
      </c>
      <c r="D109" s="239">
        <v>136487892</v>
      </c>
      <c r="E109" s="268">
        <f t="shared" si="2"/>
        <v>467.54351969078334</v>
      </c>
      <c r="F109" s="456">
        <f t="shared" si="3"/>
        <v>0.93508703938156668</v>
      </c>
    </row>
    <row r="110" spans="1:10" ht="26.25" customHeight="1" x14ac:dyDescent="0.4">
      <c r="A110" s="124" t="s">
        <v>96</v>
      </c>
      <c r="B110" s="125">
        <v>1</v>
      </c>
      <c r="C110" s="238">
        <v>3</v>
      </c>
      <c r="D110" s="239">
        <v>131298967</v>
      </c>
      <c r="E110" s="268">
        <f t="shared" si="2"/>
        <v>449.76869569458961</v>
      </c>
      <c r="F110" s="456">
        <f t="shared" si="3"/>
        <v>0.89953739138917921</v>
      </c>
    </row>
    <row r="111" spans="1:10" ht="26.25" customHeight="1" x14ac:dyDescent="0.4">
      <c r="A111" s="124" t="s">
        <v>97</v>
      </c>
      <c r="B111" s="125">
        <v>1</v>
      </c>
      <c r="C111" s="238">
        <v>4</v>
      </c>
      <c r="D111" s="239">
        <v>132708227</v>
      </c>
      <c r="E111" s="268">
        <f t="shared" si="2"/>
        <v>454.59615966157241</v>
      </c>
      <c r="F111" s="456">
        <f t="shared" si="3"/>
        <v>0.90919231932314482</v>
      </c>
    </row>
    <row r="112" spans="1:10" ht="26.25" customHeight="1" x14ac:dyDescent="0.4">
      <c r="A112" s="124" t="s">
        <v>98</v>
      </c>
      <c r="B112" s="125">
        <v>1</v>
      </c>
      <c r="C112" s="238">
        <v>5</v>
      </c>
      <c r="D112" s="239">
        <v>134266491</v>
      </c>
      <c r="E112" s="268">
        <f t="shared" si="2"/>
        <v>459.93404146553087</v>
      </c>
      <c r="F112" s="456">
        <f t="shared" si="3"/>
        <v>0.9198680829310617</v>
      </c>
    </row>
    <row r="113" spans="1:10" ht="26.25" customHeight="1" x14ac:dyDescent="0.4">
      <c r="A113" s="124" t="s">
        <v>100</v>
      </c>
      <c r="B113" s="125">
        <v>1</v>
      </c>
      <c r="C113" s="240">
        <v>6</v>
      </c>
      <c r="D113" s="241">
        <v>135497492</v>
      </c>
      <c r="E113" s="269">
        <f t="shared" si="2"/>
        <v>464.15087368302062</v>
      </c>
      <c r="F113" s="458">
        <f t="shared" si="3"/>
        <v>0.92830174736604121</v>
      </c>
    </row>
    <row r="114" spans="1:10" ht="26.25" customHeight="1" x14ac:dyDescent="0.4">
      <c r="A114" s="124" t="s">
        <v>101</v>
      </c>
      <c r="B114" s="125">
        <v>1</v>
      </c>
      <c r="C114" s="238"/>
      <c r="D114" s="193"/>
      <c r="E114" s="98"/>
      <c r="F114" s="242"/>
    </row>
    <row r="115" spans="1:10" ht="26.25" customHeight="1" x14ac:dyDescent="0.4">
      <c r="A115" s="124" t="s">
        <v>102</v>
      </c>
      <c r="B115" s="125">
        <v>1</v>
      </c>
      <c r="C115" s="238"/>
      <c r="D115" s="243" t="s">
        <v>71</v>
      </c>
      <c r="E115" s="271">
        <f>AVERAGE(E108:E113)</f>
        <v>461.95365981509235</v>
      </c>
      <c r="F115" s="244">
        <f>AVERAGE(F108:F113)</f>
        <v>0.92390731963018469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45"/>
      <c r="D116" s="211" t="s">
        <v>84</v>
      </c>
      <c r="E116" s="246">
        <f>STDEV(E108:E113)/E115</f>
        <v>2.0133289911594431E-2</v>
      </c>
      <c r="F116" s="246">
        <f>STDEV(F108:F113)/F115</f>
        <v>2.0133289911594441E-2</v>
      </c>
      <c r="I116" s="98"/>
    </row>
    <row r="117" spans="1:10" ht="27" customHeight="1" x14ac:dyDescent="0.4">
      <c r="A117" s="472" t="s">
        <v>78</v>
      </c>
      <c r="B117" s="473"/>
      <c r="C117" s="247"/>
      <c r="D117" s="248" t="s">
        <v>20</v>
      </c>
      <c r="E117" s="249">
        <f>COUNT(E108:E113)</f>
        <v>6</v>
      </c>
      <c r="F117" s="249">
        <f>COUNT(F108:F113)</f>
        <v>6</v>
      </c>
      <c r="I117" s="98"/>
      <c r="J117" s="231"/>
    </row>
    <row r="118" spans="1:10" ht="19.5" customHeight="1" x14ac:dyDescent="0.3">
      <c r="A118" s="474"/>
      <c r="B118" s="475"/>
      <c r="C118" s="98"/>
      <c r="D118" s="98"/>
      <c r="E118" s="98"/>
      <c r="F118" s="193"/>
      <c r="G118" s="98"/>
      <c r="H118" s="98"/>
      <c r="I118" s="98"/>
    </row>
    <row r="119" spans="1:10" ht="18.75" x14ac:dyDescent="0.3">
      <c r="A119" s="258"/>
      <c r="B119" s="120"/>
      <c r="C119" s="98"/>
      <c r="D119" s="98"/>
      <c r="E119" s="98"/>
      <c r="F119" s="193"/>
      <c r="G119" s="98"/>
      <c r="H119" s="98"/>
      <c r="I119" s="98"/>
    </row>
    <row r="120" spans="1:10" ht="26.25" customHeight="1" x14ac:dyDescent="0.4">
      <c r="A120" s="108" t="s">
        <v>106</v>
      </c>
      <c r="B120" s="200" t="s">
        <v>123</v>
      </c>
      <c r="C120" s="476" t="str">
        <f>B20</f>
        <v>Amoxicillin &amp; Clavulanic Acid</v>
      </c>
      <c r="D120" s="476"/>
      <c r="E120" s="201" t="s">
        <v>124</v>
      </c>
      <c r="F120" s="201"/>
      <c r="G120" s="202">
        <f>F115</f>
        <v>0.92390731963018469</v>
      </c>
      <c r="H120" s="98"/>
      <c r="I120" s="98"/>
    </row>
    <row r="121" spans="1:10" ht="19.5" customHeight="1" x14ac:dyDescent="0.3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477" t="s">
        <v>26</v>
      </c>
      <c r="C122" s="477"/>
      <c r="E122" s="207" t="s">
        <v>27</v>
      </c>
      <c r="F122" s="252"/>
      <c r="G122" s="477" t="s">
        <v>28</v>
      </c>
      <c r="H122" s="477"/>
    </row>
    <row r="123" spans="1:10" ht="69.95" customHeight="1" x14ac:dyDescent="0.3">
      <c r="A123" s="253" t="s">
        <v>29</v>
      </c>
      <c r="B123" s="254"/>
      <c r="C123" s="254"/>
      <c r="E123" s="254"/>
      <c r="F123" s="98"/>
      <c r="G123" s="255"/>
      <c r="H123" s="255"/>
    </row>
    <row r="124" spans="1:10" ht="69.95" customHeight="1" x14ac:dyDescent="0.3">
      <c r="A124" s="253" t="s">
        <v>30</v>
      </c>
      <c r="B124" s="256"/>
      <c r="C124" s="256"/>
      <c r="E124" s="256"/>
      <c r="F124" s="98"/>
      <c r="G124" s="257"/>
      <c r="H124" s="257"/>
    </row>
    <row r="125" spans="1:10" ht="18.75" x14ac:dyDescent="0.3">
      <c r="A125" s="192"/>
      <c r="B125" s="192"/>
      <c r="C125" s="193"/>
      <c r="D125" s="193"/>
      <c r="E125" s="193"/>
      <c r="F125" s="197"/>
      <c r="G125" s="193"/>
      <c r="H125" s="193"/>
      <c r="I125" s="98"/>
    </row>
    <row r="126" spans="1:10" ht="18.75" x14ac:dyDescent="0.3">
      <c r="A126" s="192"/>
      <c r="B126" s="192"/>
      <c r="C126" s="193"/>
      <c r="D126" s="193"/>
      <c r="E126" s="193"/>
      <c r="F126" s="197"/>
      <c r="G126" s="193"/>
      <c r="H126" s="193"/>
      <c r="I126" s="98"/>
    </row>
    <row r="127" spans="1:10" ht="18.75" x14ac:dyDescent="0.3">
      <c r="A127" s="192"/>
      <c r="B127" s="192"/>
      <c r="C127" s="193"/>
      <c r="D127" s="193"/>
      <c r="E127" s="193"/>
      <c r="F127" s="197"/>
      <c r="G127" s="193"/>
      <c r="H127" s="193"/>
      <c r="I127" s="98"/>
    </row>
    <row r="128" spans="1:10" ht="18.75" x14ac:dyDescent="0.3">
      <c r="A128" s="192"/>
      <c r="B128" s="192"/>
      <c r="C128" s="193"/>
      <c r="D128" s="193"/>
      <c r="E128" s="193"/>
      <c r="F128" s="197"/>
      <c r="G128" s="193"/>
      <c r="H128" s="193"/>
      <c r="I128" s="98"/>
    </row>
    <row r="129" spans="1:9" ht="18.75" x14ac:dyDescent="0.3">
      <c r="A129" s="192"/>
      <c r="B129" s="192"/>
      <c r="C129" s="193"/>
      <c r="D129" s="193"/>
      <c r="E129" s="193"/>
      <c r="F129" s="197"/>
      <c r="G129" s="193"/>
      <c r="H129" s="193"/>
      <c r="I129" s="98"/>
    </row>
    <row r="130" spans="1:9" ht="18.75" x14ac:dyDescent="0.3">
      <c r="A130" s="192"/>
      <c r="B130" s="192"/>
      <c r="C130" s="193"/>
      <c r="D130" s="193"/>
      <c r="E130" s="193"/>
      <c r="F130" s="197"/>
      <c r="G130" s="193"/>
      <c r="H130" s="193"/>
      <c r="I130" s="98"/>
    </row>
    <row r="131" spans="1:9" ht="18.75" x14ac:dyDescent="0.3">
      <c r="A131" s="192"/>
      <c r="B131" s="192"/>
      <c r="C131" s="193"/>
      <c r="D131" s="193"/>
      <c r="E131" s="193"/>
      <c r="F131" s="197"/>
      <c r="G131" s="193"/>
      <c r="H131" s="193"/>
      <c r="I131" s="98"/>
    </row>
    <row r="132" spans="1:9" ht="18.75" x14ac:dyDescent="0.3">
      <c r="A132" s="192"/>
      <c r="B132" s="192"/>
      <c r="C132" s="193"/>
      <c r="D132" s="193"/>
      <c r="E132" s="193"/>
      <c r="F132" s="197"/>
      <c r="G132" s="193"/>
      <c r="H132" s="193"/>
      <c r="I132" s="98"/>
    </row>
    <row r="133" spans="1:9" ht="18.75" x14ac:dyDescent="0.3">
      <c r="A133" s="192"/>
      <c r="B133" s="192"/>
      <c r="C133" s="193"/>
      <c r="D133" s="193"/>
      <c r="E133" s="193"/>
      <c r="F133" s="197"/>
      <c r="G133" s="193"/>
      <c r="H133" s="193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7" zoomScale="60" zoomScaleNormal="40" zoomScalePageLayoutView="50" workbookViewId="0">
      <selection activeCell="F94" sqref="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45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46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73"/>
    </row>
    <row r="16" spans="1:9" ht="19.5" customHeight="1" x14ac:dyDescent="0.3">
      <c r="A16" s="504" t="s">
        <v>31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47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75" t="s">
        <v>33</v>
      </c>
      <c r="B18" s="503" t="s">
        <v>5</v>
      </c>
      <c r="C18" s="503"/>
      <c r="D18" s="438"/>
      <c r="E18" s="276"/>
      <c r="F18" s="277"/>
      <c r="G18" s="277"/>
      <c r="H18" s="277"/>
    </row>
    <row r="19" spans="1:14" ht="26.25" customHeight="1" x14ac:dyDescent="0.4">
      <c r="A19" s="275" t="s">
        <v>34</v>
      </c>
      <c r="B19" s="278" t="s">
        <v>7</v>
      </c>
      <c r="C19" s="451">
        <v>29</v>
      </c>
      <c r="D19" s="277"/>
      <c r="E19" s="277"/>
      <c r="F19" s="277"/>
      <c r="G19" s="277"/>
      <c r="H19" s="277"/>
    </row>
    <row r="20" spans="1:14" ht="26.25" customHeight="1" x14ac:dyDescent="0.4">
      <c r="A20" s="275" t="s">
        <v>35</v>
      </c>
      <c r="B20" s="508" t="s">
        <v>9</v>
      </c>
      <c r="C20" s="508"/>
      <c r="D20" s="277"/>
      <c r="E20" s="277"/>
      <c r="F20" s="277"/>
      <c r="G20" s="277"/>
      <c r="H20" s="277"/>
    </row>
    <row r="21" spans="1:14" ht="26.25" customHeight="1" x14ac:dyDescent="0.4">
      <c r="A21" s="275" t="s">
        <v>36</v>
      </c>
      <c r="B21" s="508" t="s">
        <v>11</v>
      </c>
      <c r="C21" s="508"/>
      <c r="D21" s="508"/>
      <c r="E21" s="508"/>
      <c r="F21" s="508"/>
      <c r="G21" s="508"/>
      <c r="H21" s="508"/>
      <c r="I21" s="279"/>
    </row>
    <row r="22" spans="1:14" ht="26.25" customHeight="1" x14ac:dyDescent="0.4">
      <c r="A22" s="275" t="s">
        <v>37</v>
      </c>
      <c r="B22" s="280"/>
      <c r="C22" s="277"/>
      <c r="D22" s="277"/>
      <c r="E22" s="277"/>
      <c r="F22" s="277"/>
      <c r="G22" s="277"/>
      <c r="H22" s="277"/>
    </row>
    <row r="23" spans="1:14" ht="26.25" customHeight="1" x14ac:dyDescent="0.4">
      <c r="A23" s="275" t="s">
        <v>38</v>
      </c>
      <c r="B23" s="280"/>
      <c r="C23" s="277"/>
      <c r="D23" s="277"/>
      <c r="E23" s="277"/>
      <c r="F23" s="277"/>
      <c r="G23" s="277"/>
      <c r="H23" s="277"/>
    </row>
    <row r="24" spans="1:14" ht="18.75" x14ac:dyDescent="0.3">
      <c r="A24" s="275"/>
      <c r="B24" s="281"/>
    </row>
    <row r="25" spans="1:14" ht="18.75" x14ac:dyDescent="0.3">
      <c r="A25" s="282" t="s">
        <v>1</v>
      </c>
      <c r="B25" s="281"/>
    </row>
    <row r="26" spans="1:14" ht="26.25" customHeight="1" x14ac:dyDescent="0.4">
      <c r="A26" s="283" t="s">
        <v>4</v>
      </c>
      <c r="B26" s="503" t="s">
        <v>126</v>
      </c>
      <c r="C26" s="503"/>
    </row>
    <row r="27" spans="1:14" ht="26.25" customHeight="1" x14ac:dyDescent="0.4">
      <c r="A27" s="284" t="s">
        <v>48</v>
      </c>
      <c r="B27" s="501"/>
      <c r="C27" s="501"/>
    </row>
    <row r="28" spans="1:14" ht="27" customHeight="1" x14ac:dyDescent="0.4">
      <c r="A28" s="284" t="s">
        <v>6</v>
      </c>
      <c r="B28" s="285">
        <v>96.4</v>
      </c>
    </row>
    <row r="29" spans="1:14" s="14" customFormat="1" ht="27" customHeight="1" x14ac:dyDescent="0.4">
      <c r="A29" s="284" t="s">
        <v>49</v>
      </c>
      <c r="B29" s="286"/>
      <c r="C29" s="478" t="s">
        <v>50</v>
      </c>
      <c r="D29" s="479"/>
      <c r="E29" s="479"/>
      <c r="F29" s="479"/>
      <c r="G29" s="480"/>
      <c r="I29" s="287"/>
      <c r="J29" s="287"/>
      <c r="K29" s="287"/>
      <c r="L29" s="287"/>
    </row>
    <row r="30" spans="1:14" s="14" customFormat="1" ht="19.5" customHeight="1" x14ac:dyDescent="0.3">
      <c r="A30" s="284" t="s">
        <v>51</v>
      </c>
      <c r="B30" s="288">
        <f>B28-B29</f>
        <v>96.4</v>
      </c>
      <c r="C30" s="289"/>
      <c r="D30" s="289"/>
      <c r="E30" s="289"/>
      <c r="F30" s="289"/>
      <c r="G30" s="290"/>
      <c r="I30" s="287"/>
      <c r="J30" s="287"/>
      <c r="K30" s="287"/>
      <c r="L30" s="287"/>
    </row>
    <row r="31" spans="1:14" s="14" customFormat="1" ht="27" customHeight="1" x14ac:dyDescent="0.4">
      <c r="A31" s="284" t="s">
        <v>52</v>
      </c>
      <c r="B31" s="291">
        <v>1</v>
      </c>
      <c r="C31" s="481" t="s">
        <v>53</v>
      </c>
      <c r="D31" s="482"/>
      <c r="E31" s="482"/>
      <c r="F31" s="482"/>
      <c r="G31" s="482"/>
      <c r="H31" s="483"/>
      <c r="I31" s="287"/>
      <c r="J31" s="287"/>
      <c r="K31" s="287"/>
      <c r="L31" s="287"/>
    </row>
    <row r="32" spans="1:14" s="14" customFormat="1" ht="27" customHeight="1" x14ac:dyDescent="0.4">
      <c r="A32" s="284" t="s">
        <v>54</v>
      </c>
      <c r="B32" s="291">
        <v>1</v>
      </c>
      <c r="C32" s="481" t="s">
        <v>55</v>
      </c>
      <c r="D32" s="482"/>
      <c r="E32" s="482"/>
      <c r="F32" s="482"/>
      <c r="G32" s="482"/>
      <c r="H32" s="483"/>
      <c r="I32" s="287"/>
      <c r="J32" s="287"/>
      <c r="K32" s="287"/>
      <c r="L32" s="292"/>
      <c r="M32" s="292"/>
      <c r="N32" s="293"/>
    </row>
    <row r="33" spans="1:14" s="14" customFormat="1" ht="17.25" customHeight="1" x14ac:dyDescent="0.3">
      <c r="A33" s="284"/>
      <c r="B33" s="294"/>
      <c r="C33" s="295"/>
      <c r="D33" s="295"/>
      <c r="E33" s="295"/>
      <c r="F33" s="295"/>
      <c r="G33" s="295"/>
      <c r="H33" s="295"/>
      <c r="I33" s="287"/>
      <c r="J33" s="287"/>
      <c r="K33" s="287"/>
      <c r="L33" s="292"/>
      <c r="M33" s="292"/>
      <c r="N33" s="293"/>
    </row>
    <row r="34" spans="1:14" s="14" customFormat="1" ht="18.75" x14ac:dyDescent="0.3">
      <c r="A34" s="284" t="s">
        <v>56</v>
      </c>
      <c r="B34" s="296">
        <f>B31/B32</f>
        <v>1</v>
      </c>
      <c r="C34" s="274" t="s">
        <v>57</v>
      </c>
      <c r="D34" s="274"/>
      <c r="E34" s="274"/>
      <c r="F34" s="274"/>
      <c r="G34" s="274"/>
      <c r="I34" s="287"/>
      <c r="J34" s="287"/>
      <c r="K34" s="287"/>
      <c r="L34" s="292"/>
      <c r="M34" s="292"/>
      <c r="N34" s="293"/>
    </row>
    <row r="35" spans="1:14" s="14" customFormat="1" ht="19.5" customHeight="1" x14ac:dyDescent="0.3">
      <c r="A35" s="284"/>
      <c r="B35" s="288"/>
      <c r="G35" s="274"/>
      <c r="I35" s="287"/>
      <c r="J35" s="287"/>
      <c r="K35" s="287"/>
      <c r="L35" s="292"/>
      <c r="M35" s="292"/>
      <c r="N35" s="293"/>
    </row>
    <row r="36" spans="1:14" s="14" customFormat="1" ht="27" customHeight="1" x14ac:dyDescent="0.4">
      <c r="A36" s="297" t="s">
        <v>58</v>
      </c>
      <c r="B36" s="298">
        <v>20</v>
      </c>
      <c r="C36" s="274"/>
      <c r="D36" s="484" t="s">
        <v>59</v>
      </c>
      <c r="E36" s="502"/>
      <c r="F36" s="484" t="s">
        <v>60</v>
      </c>
      <c r="G36" s="485"/>
      <c r="J36" s="287"/>
      <c r="K36" s="287"/>
      <c r="L36" s="292"/>
      <c r="M36" s="292"/>
      <c r="N36" s="293"/>
    </row>
    <row r="37" spans="1:14" s="14" customFormat="1" ht="27" customHeight="1" x14ac:dyDescent="0.4">
      <c r="A37" s="299" t="s">
        <v>61</v>
      </c>
      <c r="B37" s="300">
        <v>3</v>
      </c>
      <c r="C37" s="301" t="s">
        <v>62</v>
      </c>
      <c r="D37" s="302" t="s">
        <v>63</v>
      </c>
      <c r="E37" s="303" t="s">
        <v>64</v>
      </c>
      <c r="F37" s="302" t="s">
        <v>63</v>
      </c>
      <c r="G37" s="304" t="s">
        <v>64</v>
      </c>
      <c r="I37" s="305" t="s">
        <v>65</v>
      </c>
      <c r="J37" s="287"/>
      <c r="K37" s="287"/>
      <c r="L37" s="292"/>
      <c r="M37" s="292"/>
      <c r="N37" s="293"/>
    </row>
    <row r="38" spans="1:14" s="14" customFormat="1" ht="26.25" customHeight="1" x14ac:dyDescent="0.4">
      <c r="A38" s="299" t="s">
        <v>66</v>
      </c>
      <c r="B38" s="300">
        <v>25</v>
      </c>
      <c r="C38" s="306">
        <v>1</v>
      </c>
      <c r="D38" s="307">
        <v>34051367</v>
      </c>
      <c r="E38" s="308">
        <f>IF(ISBLANK(D38),"-",$D$48/$D$45*D38)</f>
        <v>36197527.067222103</v>
      </c>
      <c r="F38" s="307">
        <v>34853336</v>
      </c>
      <c r="G38" s="309">
        <f>IF(ISBLANK(F38),"-",$D$48/$F$45*F38)</f>
        <v>34647072.277551502</v>
      </c>
      <c r="I38" s="310"/>
      <c r="J38" s="287"/>
      <c r="K38" s="287"/>
      <c r="L38" s="292"/>
      <c r="M38" s="292"/>
      <c r="N38" s="293"/>
    </row>
    <row r="39" spans="1:14" s="14" customFormat="1" ht="26.25" customHeight="1" x14ac:dyDescent="0.4">
      <c r="A39" s="299" t="s">
        <v>67</v>
      </c>
      <c r="B39" s="300">
        <v>1</v>
      </c>
      <c r="C39" s="311">
        <v>2</v>
      </c>
      <c r="D39" s="312">
        <v>33865721</v>
      </c>
      <c r="E39" s="313">
        <f>IF(ISBLANK(D39),"-",$D$48/$D$45*D39)</f>
        <v>36000180.331923008</v>
      </c>
      <c r="F39" s="312">
        <v>36804197</v>
      </c>
      <c r="G39" s="314">
        <f>IF(ISBLANK(F39),"-",$D$48/$F$45*F39)</f>
        <v>36586387.988118105</v>
      </c>
      <c r="I39" s="486">
        <f>ABS((F43/D43*D42)-F42)/D42</f>
        <v>1.9007560409056387E-3</v>
      </c>
      <c r="J39" s="287"/>
      <c r="K39" s="287"/>
      <c r="L39" s="292"/>
      <c r="M39" s="292"/>
      <c r="N39" s="293"/>
    </row>
    <row r="40" spans="1:14" ht="26.25" customHeight="1" x14ac:dyDescent="0.4">
      <c r="A40" s="299" t="s">
        <v>68</v>
      </c>
      <c r="B40" s="300">
        <v>1</v>
      </c>
      <c r="C40" s="311">
        <v>3</v>
      </c>
      <c r="D40" s="312">
        <v>33830952</v>
      </c>
      <c r="E40" s="313">
        <f>IF(ISBLANK(D40),"-",$D$48/$D$45*D40)</f>
        <v>35963219.941504605</v>
      </c>
      <c r="F40" s="312">
        <v>36704664</v>
      </c>
      <c r="G40" s="314">
        <f>IF(ISBLANK(F40),"-",$D$48/$F$45*F40)</f>
        <v>36487444.029209793</v>
      </c>
      <c r="I40" s="486"/>
      <c r="L40" s="292"/>
      <c r="M40" s="292"/>
      <c r="N40" s="315"/>
    </row>
    <row r="41" spans="1:14" ht="27" customHeight="1" x14ac:dyDescent="0.4">
      <c r="A41" s="299" t="s">
        <v>69</v>
      </c>
      <c r="B41" s="300">
        <v>1</v>
      </c>
      <c r="C41" s="316">
        <v>4</v>
      </c>
      <c r="D41" s="317">
        <v>33344240</v>
      </c>
      <c r="E41" s="318">
        <f>IF(ISBLANK(D41),"-",$D$48/$D$45*D41)</f>
        <v>35445831.879112221</v>
      </c>
      <c r="F41" s="317">
        <v>35842716</v>
      </c>
      <c r="G41" s="319">
        <f>IF(ISBLANK(F41),"-",$D$48/$F$45*F41)</f>
        <v>35630597.079021409</v>
      </c>
      <c r="I41" s="320"/>
      <c r="L41" s="292"/>
      <c r="M41" s="292"/>
      <c r="N41" s="315"/>
    </row>
    <row r="42" spans="1:14" ht="27" customHeight="1" x14ac:dyDescent="0.4">
      <c r="A42" s="299" t="s">
        <v>70</v>
      </c>
      <c r="B42" s="300">
        <v>1</v>
      </c>
      <c r="C42" s="321" t="s">
        <v>71</v>
      </c>
      <c r="D42" s="322">
        <f>AVERAGE(D38:D41)</f>
        <v>33773070</v>
      </c>
      <c r="E42" s="323">
        <f>AVERAGE(E38:E41)</f>
        <v>35901689.804940484</v>
      </c>
      <c r="F42" s="322">
        <f>AVERAGE(F38:F41)</f>
        <v>36051228.25</v>
      </c>
      <c r="G42" s="324">
        <f>AVERAGE(G38:G41)</f>
        <v>35837875.343475208</v>
      </c>
      <c r="H42" s="325"/>
    </row>
    <row r="43" spans="1:14" ht="26.25" customHeight="1" x14ac:dyDescent="0.4">
      <c r="A43" s="299" t="s">
        <v>72</v>
      </c>
      <c r="B43" s="300">
        <v>1</v>
      </c>
      <c r="C43" s="326" t="s">
        <v>73</v>
      </c>
      <c r="D43" s="327">
        <v>20.329999999999998</v>
      </c>
      <c r="E43" s="315"/>
      <c r="F43" s="327">
        <v>21.74</v>
      </c>
      <c r="H43" s="325"/>
    </row>
    <row r="44" spans="1:14" ht="26.25" customHeight="1" x14ac:dyDescent="0.4">
      <c r="A44" s="299" t="s">
        <v>74</v>
      </c>
      <c r="B44" s="300">
        <v>1</v>
      </c>
      <c r="C44" s="328" t="s">
        <v>75</v>
      </c>
      <c r="D44" s="329">
        <f>D43*$B$34</f>
        <v>20.329999999999998</v>
      </c>
      <c r="E44" s="330"/>
      <c r="F44" s="329">
        <f>F43*$B$34</f>
        <v>21.74</v>
      </c>
      <c r="H44" s="325"/>
    </row>
    <row r="45" spans="1:14" ht="19.5" customHeight="1" x14ac:dyDescent="0.3">
      <c r="A45" s="299" t="s">
        <v>76</v>
      </c>
      <c r="B45" s="331">
        <f>(B44/B43)*(B42/B41)*(B40/B39)*(B38/B37)*B36</f>
        <v>166.66666666666669</v>
      </c>
      <c r="C45" s="328" t="s">
        <v>77</v>
      </c>
      <c r="D45" s="332">
        <f>D44*$B$30/100</f>
        <v>19.598119999999998</v>
      </c>
      <c r="E45" s="333"/>
      <c r="F45" s="332">
        <f>F44*$B$30/100</f>
        <v>20.957359999999998</v>
      </c>
      <c r="H45" s="325"/>
    </row>
    <row r="46" spans="1:14" ht="19.5" customHeight="1" x14ac:dyDescent="0.3">
      <c r="A46" s="472" t="s">
        <v>78</v>
      </c>
      <c r="B46" s="473"/>
      <c r="C46" s="328" t="s">
        <v>79</v>
      </c>
      <c r="D46" s="334">
        <f>D45/$B$45</f>
        <v>0.11758871999999998</v>
      </c>
      <c r="E46" s="335"/>
      <c r="F46" s="336">
        <f>F45/$B$45</f>
        <v>0.12574415999999997</v>
      </c>
      <c r="H46" s="325"/>
    </row>
    <row r="47" spans="1:14" ht="27" customHeight="1" x14ac:dyDescent="0.4">
      <c r="A47" s="474"/>
      <c r="B47" s="475"/>
      <c r="C47" s="337" t="s">
        <v>80</v>
      </c>
      <c r="D47" s="338">
        <v>0.125</v>
      </c>
      <c r="E47" s="339"/>
      <c r="F47" s="335"/>
      <c r="H47" s="325"/>
    </row>
    <row r="48" spans="1:14" ht="18.75" x14ac:dyDescent="0.3">
      <c r="C48" s="340" t="s">
        <v>81</v>
      </c>
      <c r="D48" s="332">
        <f>D47*$B$45</f>
        <v>20.833333333333336</v>
      </c>
      <c r="F48" s="341"/>
      <c r="H48" s="325"/>
    </row>
    <row r="49" spans="1:12" ht="19.5" customHeight="1" x14ac:dyDescent="0.3">
      <c r="C49" s="342" t="s">
        <v>82</v>
      </c>
      <c r="D49" s="343">
        <f>D48/B34</f>
        <v>20.833333333333336</v>
      </c>
      <c r="F49" s="341"/>
      <c r="H49" s="325"/>
    </row>
    <row r="50" spans="1:12" ht="18.75" x14ac:dyDescent="0.3">
      <c r="C50" s="297" t="s">
        <v>83</v>
      </c>
      <c r="D50" s="344">
        <f>AVERAGE(E38:E41,G38:G41)</f>
        <v>35869782.574207842</v>
      </c>
      <c r="F50" s="345"/>
      <c r="H50" s="325"/>
    </row>
    <row r="51" spans="1:12" ht="18.75" x14ac:dyDescent="0.3">
      <c r="C51" s="299" t="s">
        <v>84</v>
      </c>
      <c r="D51" s="346">
        <f>STDEV(E38:E41,G38:G41)/D50</f>
        <v>1.7506047398244243E-2</v>
      </c>
      <c r="F51" s="345"/>
      <c r="H51" s="325"/>
    </row>
    <row r="52" spans="1:12" ht="19.5" customHeight="1" x14ac:dyDescent="0.3">
      <c r="C52" s="347" t="s">
        <v>20</v>
      </c>
      <c r="D52" s="348">
        <f>COUNT(E38:E41,G38:G41)</f>
        <v>8</v>
      </c>
      <c r="F52" s="345"/>
    </row>
    <row r="54" spans="1:12" ht="18.75" x14ac:dyDescent="0.3">
      <c r="A54" s="349" t="s">
        <v>1</v>
      </c>
      <c r="B54" s="350" t="s">
        <v>85</v>
      </c>
    </row>
    <row r="55" spans="1:12" ht="18.75" x14ac:dyDescent="0.3">
      <c r="A55" s="274" t="s">
        <v>86</v>
      </c>
      <c r="B55" s="351" t="str">
        <f>B21</f>
        <v>Each film coated tablet contains: Amoxicillin Trihydrate USP eq. to Amoxicillin 500mg
Diluted Potassium Clavulanate BP eq. to Clavulanic acid 125mg</v>
      </c>
    </row>
    <row r="56" spans="1:12" ht="26.25" customHeight="1" x14ac:dyDescent="0.4">
      <c r="A56" s="352" t="s">
        <v>87</v>
      </c>
      <c r="B56" s="353">
        <v>125</v>
      </c>
      <c r="C56" s="274" t="str">
        <f>B20</f>
        <v>Amoxicillin &amp; Clavulanic Acid</v>
      </c>
      <c r="H56" s="354"/>
    </row>
    <row r="57" spans="1:12" ht="18.75" x14ac:dyDescent="0.3">
      <c r="A57" s="351" t="s">
        <v>88</v>
      </c>
      <c r="B57" s="439">
        <f>Uniformity!C46</f>
        <v>1039.998</v>
      </c>
      <c r="H57" s="354"/>
    </row>
    <row r="58" spans="1:12" ht="19.5" customHeight="1" x14ac:dyDescent="0.3">
      <c r="H58" s="354"/>
    </row>
    <row r="59" spans="1:12" s="14" customFormat="1" ht="27" customHeight="1" x14ac:dyDescent="0.4">
      <c r="A59" s="297" t="s">
        <v>89</v>
      </c>
      <c r="B59" s="298">
        <v>100</v>
      </c>
      <c r="C59" s="274"/>
      <c r="D59" s="355" t="s">
        <v>90</v>
      </c>
      <c r="E59" s="356" t="s">
        <v>62</v>
      </c>
      <c r="F59" s="356" t="s">
        <v>63</v>
      </c>
      <c r="G59" s="356" t="s">
        <v>91</v>
      </c>
      <c r="H59" s="301" t="s">
        <v>92</v>
      </c>
      <c r="L59" s="287"/>
    </row>
    <row r="60" spans="1:12" s="14" customFormat="1" ht="26.25" customHeight="1" x14ac:dyDescent="0.4">
      <c r="A60" s="299" t="s">
        <v>93</v>
      </c>
      <c r="B60" s="300">
        <v>1</v>
      </c>
      <c r="C60" s="489" t="s">
        <v>94</v>
      </c>
      <c r="D60" s="492">
        <v>109.87</v>
      </c>
      <c r="E60" s="357">
        <v>1</v>
      </c>
      <c r="F60" s="358">
        <v>37724464</v>
      </c>
      <c r="G60" s="440">
        <f>IF(ISBLANK(F60),"-",(F60/$D$50*$D$47*$B$68)*($B$57/$D$60))</f>
        <v>124.4393478190202</v>
      </c>
      <c r="H60" s="359">
        <f t="shared" ref="H60:H71" si="0">IF(ISBLANK(F60),"-",G60/$B$56)</f>
        <v>0.99551478255216164</v>
      </c>
      <c r="L60" s="287"/>
    </row>
    <row r="61" spans="1:12" s="14" customFormat="1" ht="26.25" customHeight="1" x14ac:dyDescent="0.4">
      <c r="A61" s="299" t="s">
        <v>95</v>
      </c>
      <c r="B61" s="300">
        <v>1</v>
      </c>
      <c r="C61" s="490"/>
      <c r="D61" s="493"/>
      <c r="E61" s="360">
        <v>2</v>
      </c>
      <c r="F61" s="312">
        <v>37645211</v>
      </c>
      <c r="G61" s="441">
        <f>IF(ISBLANK(F61),"-",(F61/$D$50*$D$47*$B$68)*($B$57/$D$60))</f>
        <v>124.17792086719659</v>
      </c>
      <c r="H61" s="361">
        <f t="shared" si="0"/>
        <v>0.99342336693757272</v>
      </c>
      <c r="L61" s="287"/>
    </row>
    <row r="62" spans="1:12" s="14" customFormat="1" ht="26.25" customHeight="1" x14ac:dyDescent="0.4">
      <c r="A62" s="299" t="s">
        <v>96</v>
      </c>
      <c r="B62" s="300">
        <v>1</v>
      </c>
      <c r="C62" s="490"/>
      <c r="D62" s="493"/>
      <c r="E62" s="360">
        <v>3</v>
      </c>
      <c r="F62" s="362">
        <v>37695297</v>
      </c>
      <c r="G62" s="441">
        <f>IF(ISBLANK(F62),"-",(F62/$D$50*$D$47*$B$68)*($B$57/$D$60))</f>
        <v>124.3431364465316</v>
      </c>
      <c r="H62" s="361">
        <f t="shared" si="0"/>
        <v>0.99474509157225277</v>
      </c>
      <c r="L62" s="287"/>
    </row>
    <row r="63" spans="1:12" ht="27" customHeight="1" x14ac:dyDescent="0.4">
      <c r="A63" s="299" t="s">
        <v>97</v>
      </c>
      <c r="B63" s="300">
        <v>1</v>
      </c>
      <c r="C63" s="500"/>
      <c r="D63" s="494"/>
      <c r="E63" s="363">
        <v>4</v>
      </c>
      <c r="F63" s="364"/>
      <c r="G63" s="441" t="str">
        <f>IF(ISBLANK(F63),"-",(F63/$D$50*$D$47*$B$68)*($B$57/$D$60))</f>
        <v>-</v>
      </c>
      <c r="H63" s="361" t="str">
        <f t="shared" si="0"/>
        <v>-</v>
      </c>
    </row>
    <row r="64" spans="1:12" ht="26.25" customHeight="1" x14ac:dyDescent="0.4">
      <c r="A64" s="299" t="s">
        <v>98</v>
      </c>
      <c r="B64" s="300">
        <v>1</v>
      </c>
      <c r="C64" s="489" t="s">
        <v>99</v>
      </c>
      <c r="D64" s="492">
        <v>134.59</v>
      </c>
      <c r="E64" s="357">
        <v>1</v>
      </c>
      <c r="F64" s="358">
        <v>45820431</v>
      </c>
      <c r="G64" s="442">
        <f>IF(ISBLANK(F64),"-",(F64/$D$50*$D$47*$B$68)*($B$57/$D$64))</f>
        <v>123.38437052518626</v>
      </c>
      <c r="H64" s="365">
        <f t="shared" si="0"/>
        <v>0.9870749642014901</v>
      </c>
    </row>
    <row r="65" spans="1:8" ht="26.25" customHeight="1" x14ac:dyDescent="0.4">
      <c r="A65" s="299" t="s">
        <v>100</v>
      </c>
      <c r="B65" s="300">
        <v>1</v>
      </c>
      <c r="C65" s="490"/>
      <c r="D65" s="493"/>
      <c r="E65" s="360">
        <v>2</v>
      </c>
      <c r="F65" s="312">
        <v>46042820</v>
      </c>
      <c r="G65" s="443">
        <f>IF(ISBLANK(F65),"-",(F65/$D$50*$D$47*$B$68)*($B$57/$D$64))</f>
        <v>123.98321532384659</v>
      </c>
      <c r="H65" s="366">
        <f t="shared" si="0"/>
        <v>0.99186572259077277</v>
      </c>
    </row>
    <row r="66" spans="1:8" ht="26.25" customHeight="1" x14ac:dyDescent="0.4">
      <c r="A66" s="299" t="s">
        <v>101</v>
      </c>
      <c r="B66" s="300">
        <v>1</v>
      </c>
      <c r="C66" s="490"/>
      <c r="D66" s="493"/>
      <c r="E66" s="360">
        <v>3</v>
      </c>
      <c r="F66" s="312">
        <v>45806366</v>
      </c>
      <c r="G66" s="443">
        <f>IF(ISBLANK(F66),"-",(F66/$D$50*$D$47*$B$68)*($B$57/$D$64))</f>
        <v>123.34649656517404</v>
      </c>
      <c r="H66" s="366">
        <f t="shared" si="0"/>
        <v>0.98677197252139226</v>
      </c>
    </row>
    <row r="67" spans="1:8" ht="27" customHeight="1" x14ac:dyDescent="0.4">
      <c r="A67" s="299" t="s">
        <v>102</v>
      </c>
      <c r="B67" s="300">
        <v>1</v>
      </c>
      <c r="C67" s="500"/>
      <c r="D67" s="494"/>
      <c r="E67" s="363">
        <v>4</v>
      </c>
      <c r="F67" s="364"/>
      <c r="G67" s="444" t="str">
        <f>IF(ISBLANK(F67),"-",(F67/$D$50*$D$47*$B$68)*($B$57/$D$64))</f>
        <v>-</v>
      </c>
      <c r="H67" s="367" t="str">
        <f t="shared" si="0"/>
        <v>-</v>
      </c>
    </row>
    <row r="68" spans="1:8" ht="26.25" customHeight="1" x14ac:dyDescent="0.4">
      <c r="A68" s="299" t="s">
        <v>103</v>
      </c>
      <c r="B68" s="368">
        <f>(B67/B66)*(B65/B64)*(B63/B62)*(B61/B60)*B59</f>
        <v>100</v>
      </c>
      <c r="C68" s="489" t="s">
        <v>104</v>
      </c>
      <c r="D68" s="492">
        <v>162.06</v>
      </c>
      <c r="E68" s="357">
        <v>1</v>
      </c>
      <c r="F68" s="358">
        <v>55066170</v>
      </c>
      <c r="G68" s="442">
        <f>IF(ISBLANK(F68),"-",(F68/$D$50*$D$47*$B$68)*($B$57/$D$68))</f>
        <v>123.14670882841368</v>
      </c>
      <c r="H68" s="361">
        <f t="shared" si="0"/>
        <v>0.98517367062730943</v>
      </c>
    </row>
    <row r="69" spans="1:8" ht="27" customHeight="1" x14ac:dyDescent="0.4">
      <c r="A69" s="347" t="s">
        <v>105</v>
      </c>
      <c r="B69" s="369">
        <f>(D47*B68)/B56*B57</f>
        <v>103.99980000000001</v>
      </c>
      <c r="C69" s="490"/>
      <c r="D69" s="493"/>
      <c r="E69" s="360">
        <v>2</v>
      </c>
      <c r="F69" s="312">
        <v>55753161</v>
      </c>
      <c r="G69" s="443">
        <f>IF(ISBLANK(F69),"-",(F69/$D$50*$D$47*$B$68)*($B$57/$D$68))</f>
        <v>124.68305465825331</v>
      </c>
      <c r="H69" s="361">
        <f t="shared" si="0"/>
        <v>0.99746443726602652</v>
      </c>
    </row>
    <row r="70" spans="1:8" ht="26.25" customHeight="1" x14ac:dyDescent="0.4">
      <c r="A70" s="495" t="s">
        <v>78</v>
      </c>
      <c r="B70" s="496"/>
      <c r="C70" s="490"/>
      <c r="D70" s="493"/>
      <c r="E70" s="360">
        <v>3</v>
      </c>
      <c r="F70" s="312">
        <v>54397918</v>
      </c>
      <c r="G70" s="443">
        <f>IF(ISBLANK(F70),"-",(F70/$D$50*$D$47*$B$68)*($B$57/$D$68))</f>
        <v>121.65226978411469</v>
      </c>
      <c r="H70" s="361">
        <f t="shared" si="0"/>
        <v>0.97321815827291758</v>
      </c>
    </row>
    <row r="71" spans="1:8" ht="27" customHeight="1" x14ac:dyDescent="0.4">
      <c r="A71" s="497"/>
      <c r="B71" s="498"/>
      <c r="C71" s="491"/>
      <c r="D71" s="494"/>
      <c r="E71" s="363">
        <v>4</v>
      </c>
      <c r="F71" s="364"/>
      <c r="G71" s="444" t="str">
        <f>IF(ISBLANK(F71),"-",(F71/$D$50*$D$47*$B$68)*($B$57/$D$68))</f>
        <v>-</v>
      </c>
      <c r="H71" s="370" t="str">
        <f t="shared" si="0"/>
        <v>-</v>
      </c>
    </row>
    <row r="72" spans="1:8" ht="26.25" customHeight="1" x14ac:dyDescent="0.4">
      <c r="A72" s="371"/>
      <c r="B72" s="371"/>
      <c r="C72" s="371"/>
      <c r="D72" s="371"/>
      <c r="E72" s="371"/>
      <c r="F72" s="373" t="s">
        <v>71</v>
      </c>
      <c r="G72" s="449">
        <f>AVERAGE(G60:G71)</f>
        <v>123.68405786863744</v>
      </c>
      <c r="H72" s="374">
        <f>AVERAGE(H60:H71)</f>
        <v>0.98947246294909952</v>
      </c>
    </row>
    <row r="73" spans="1:8" ht="26.25" customHeight="1" x14ac:dyDescent="0.4">
      <c r="C73" s="371"/>
      <c r="D73" s="371"/>
      <c r="E73" s="371"/>
      <c r="F73" s="375" t="s">
        <v>84</v>
      </c>
      <c r="G73" s="445">
        <f>STDEV(G60:G71)/G72</f>
        <v>7.539617491189231E-3</v>
      </c>
      <c r="H73" s="445">
        <f>STDEV(H60:H71)/H72</f>
        <v>7.5396174911892275E-3</v>
      </c>
    </row>
    <row r="74" spans="1:8" ht="27" customHeight="1" x14ac:dyDescent="0.4">
      <c r="A74" s="371"/>
      <c r="B74" s="371"/>
      <c r="C74" s="372"/>
      <c r="D74" s="372"/>
      <c r="E74" s="376"/>
      <c r="F74" s="377" t="s">
        <v>20</v>
      </c>
      <c r="G74" s="378">
        <f>COUNT(G60:G71)</f>
        <v>9</v>
      </c>
      <c r="H74" s="378">
        <f>COUNT(H60:H71)</f>
        <v>9</v>
      </c>
    </row>
    <row r="76" spans="1:8" ht="26.25" customHeight="1" x14ac:dyDescent="0.4">
      <c r="A76" s="283" t="s">
        <v>106</v>
      </c>
      <c r="B76" s="379" t="s">
        <v>107</v>
      </c>
      <c r="C76" s="476" t="str">
        <f>B20</f>
        <v>Amoxicillin &amp; Clavulanic Acid</v>
      </c>
      <c r="D76" s="476"/>
      <c r="E76" s="380" t="s">
        <v>108</v>
      </c>
      <c r="F76" s="380"/>
      <c r="G76" s="381">
        <f>H72</f>
        <v>0.98947246294909952</v>
      </c>
      <c r="H76" s="382"/>
    </row>
    <row r="77" spans="1:8" ht="18.75" x14ac:dyDescent="0.3">
      <c r="A77" s="282" t="s">
        <v>109</v>
      </c>
      <c r="B77" s="282" t="s">
        <v>110</v>
      </c>
    </row>
    <row r="78" spans="1:8" ht="18.75" x14ac:dyDescent="0.3">
      <c r="A78" s="282"/>
      <c r="B78" s="282"/>
    </row>
    <row r="79" spans="1:8" ht="26.25" customHeight="1" x14ac:dyDescent="0.4">
      <c r="A79" s="283" t="s">
        <v>4</v>
      </c>
      <c r="B79" s="499" t="str">
        <f>B26</f>
        <v>clavulaniclithium</v>
      </c>
      <c r="C79" s="499"/>
    </row>
    <row r="80" spans="1:8" ht="26.25" customHeight="1" x14ac:dyDescent="0.4">
      <c r="A80" s="284" t="s">
        <v>48</v>
      </c>
      <c r="B80" s="499">
        <f>B27</f>
        <v>0</v>
      </c>
      <c r="C80" s="499"/>
    </row>
    <row r="81" spans="1:12" ht="27" customHeight="1" x14ac:dyDescent="0.4">
      <c r="A81" s="284" t="s">
        <v>6</v>
      </c>
      <c r="B81" s="383">
        <v>96.4</v>
      </c>
    </row>
    <row r="82" spans="1:12" s="14" customFormat="1" ht="27" customHeight="1" x14ac:dyDescent="0.4">
      <c r="A82" s="284" t="s">
        <v>49</v>
      </c>
      <c r="B82" s="286">
        <v>0</v>
      </c>
      <c r="C82" s="478" t="s">
        <v>50</v>
      </c>
      <c r="D82" s="479"/>
      <c r="E82" s="479"/>
      <c r="F82" s="479"/>
      <c r="G82" s="480"/>
      <c r="I82" s="287"/>
      <c r="J82" s="287"/>
      <c r="K82" s="287"/>
      <c r="L82" s="287"/>
    </row>
    <row r="83" spans="1:12" s="14" customFormat="1" ht="19.5" customHeight="1" x14ac:dyDescent="0.3">
      <c r="A83" s="284" t="s">
        <v>51</v>
      </c>
      <c r="B83" s="288">
        <f>B81-B82</f>
        <v>96.4</v>
      </c>
      <c r="C83" s="289"/>
      <c r="D83" s="289"/>
      <c r="E83" s="289"/>
      <c r="F83" s="289"/>
      <c r="G83" s="290"/>
      <c r="I83" s="287"/>
      <c r="J83" s="287"/>
      <c r="K83" s="287"/>
      <c r="L83" s="287"/>
    </row>
    <row r="84" spans="1:12" s="14" customFormat="1" ht="27" customHeight="1" x14ac:dyDescent="0.4">
      <c r="A84" s="284" t="s">
        <v>52</v>
      </c>
      <c r="B84" s="291">
        <v>1</v>
      </c>
      <c r="C84" s="481" t="s">
        <v>111</v>
      </c>
      <c r="D84" s="482"/>
      <c r="E84" s="482"/>
      <c r="F84" s="482"/>
      <c r="G84" s="482"/>
      <c r="H84" s="483"/>
      <c r="I84" s="287"/>
      <c r="J84" s="287"/>
      <c r="K84" s="287"/>
      <c r="L84" s="287"/>
    </row>
    <row r="85" spans="1:12" s="14" customFormat="1" ht="27" customHeight="1" x14ac:dyDescent="0.4">
      <c r="A85" s="284" t="s">
        <v>54</v>
      </c>
      <c r="B85" s="291">
        <v>1</v>
      </c>
      <c r="C85" s="481" t="s">
        <v>112</v>
      </c>
      <c r="D85" s="482"/>
      <c r="E85" s="482"/>
      <c r="F85" s="482"/>
      <c r="G85" s="482"/>
      <c r="H85" s="483"/>
      <c r="I85" s="287"/>
      <c r="J85" s="287"/>
      <c r="K85" s="287"/>
      <c r="L85" s="287"/>
    </row>
    <row r="86" spans="1:12" s="14" customFormat="1" ht="18.75" x14ac:dyDescent="0.3">
      <c r="A86" s="284"/>
      <c r="B86" s="294"/>
      <c r="C86" s="295"/>
      <c r="D86" s="295"/>
      <c r="E86" s="295"/>
      <c r="F86" s="295"/>
      <c r="G86" s="295"/>
      <c r="H86" s="295"/>
      <c r="I86" s="287"/>
      <c r="J86" s="287"/>
      <c r="K86" s="287"/>
      <c r="L86" s="287"/>
    </row>
    <row r="87" spans="1:12" s="14" customFormat="1" ht="18.75" x14ac:dyDescent="0.3">
      <c r="A87" s="284" t="s">
        <v>56</v>
      </c>
      <c r="B87" s="296">
        <f>B84/B85</f>
        <v>1</v>
      </c>
      <c r="C87" s="274" t="s">
        <v>57</v>
      </c>
      <c r="D87" s="274"/>
      <c r="E87" s="274"/>
      <c r="F87" s="274"/>
      <c r="G87" s="274"/>
      <c r="I87" s="287"/>
      <c r="J87" s="287"/>
      <c r="K87" s="287"/>
      <c r="L87" s="287"/>
    </row>
    <row r="88" spans="1:12" ht="19.5" customHeight="1" x14ac:dyDescent="0.3">
      <c r="A88" s="282"/>
      <c r="B88" s="282"/>
    </row>
    <row r="89" spans="1:12" ht="27" customHeight="1" x14ac:dyDescent="0.4">
      <c r="A89" s="297" t="s">
        <v>58</v>
      </c>
      <c r="B89" s="298">
        <v>20</v>
      </c>
      <c r="D89" s="384" t="s">
        <v>59</v>
      </c>
      <c r="E89" s="385"/>
      <c r="F89" s="484" t="s">
        <v>60</v>
      </c>
      <c r="G89" s="485"/>
    </row>
    <row r="90" spans="1:12" ht="27" customHeight="1" x14ac:dyDescent="0.4">
      <c r="A90" s="299" t="s">
        <v>61</v>
      </c>
      <c r="B90" s="300">
        <v>3</v>
      </c>
      <c r="C90" s="386" t="s">
        <v>62</v>
      </c>
      <c r="D90" s="302" t="s">
        <v>63</v>
      </c>
      <c r="E90" s="303" t="s">
        <v>64</v>
      </c>
      <c r="F90" s="302" t="s">
        <v>63</v>
      </c>
      <c r="G90" s="387" t="s">
        <v>64</v>
      </c>
      <c r="I90" s="305" t="s">
        <v>65</v>
      </c>
    </row>
    <row r="91" spans="1:12" ht="26.25" customHeight="1" x14ac:dyDescent="0.4">
      <c r="A91" s="299" t="s">
        <v>66</v>
      </c>
      <c r="B91" s="300">
        <v>25</v>
      </c>
      <c r="C91" s="388">
        <v>1</v>
      </c>
      <c r="D91" s="307">
        <v>39066845</v>
      </c>
      <c r="E91" s="308">
        <f>IF(ISBLANK(D91),"-",$D$101/$D$98*D91)</f>
        <v>43571602.09438248</v>
      </c>
      <c r="F91" s="307">
        <v>42399859</v>
      </c>
      <c r="G91" s="309">
        <f>IF(ISBLANK(F91),"-",$D$101/$F$98*F91)</f>
        <v>44440459.673184104</v>
      </c>
      <c r="I91" s="310"/>
    </row>
    <row r="92" spans="1:12" ht="26.25" customHeight="1" x14ac:dyDescent="0.4">
      <c r="A92" s="299" t="s">
        <v>67</v>
      </c>
      <c r="B92" s="300">
        <v>1</v>
      </c>
      <c r="C92" s="372">
        <v>2</v>
      </c>
      <c r="D92" s="312">
        <v>38928447</v>
      </c>
      <c r="E92" s="313">
        <f>IF(ISBLANK(D92),"-",$D$101/$D$98*D92)</f>
        <v>43417245.565549441</v>
      </c>
      <c r="F92" s="312">
        <v>42378134</v>
      </c>
      <c r="G92" s="314">
        <f>IF(ISBLANK(F92),"-",$D$101/$F$98*F92)</f>
        <v>44417689.102498956</v>
      </c>
      <c r="I92" s="486">
        <f>ABS((F96/D96*D95)-F95)/D95</f>
        <v>2.5402543494405943E-2</v>
      </c>
    </row>
    <row r="93" spans="1:12" ht="26.25" customHeight="1" x14ac:dyDescent="0.4">
      <c r="A93" s="299" t="s">
        <v>68</v>
      </c>
      <c r="B93" s="300">
        <v>1</v>
      </c>
      <c r="C93" s="372">
        <v>3</v>
      </c>
      <c r="D93" s="312">
        <v>39088131</v>
      </c>
      <c r="E93" s="313">
        <f>IF(ISBLANK(D93),"-",$D$101/$D$98*D93)</f>
        <v>43595342.560810752</v>
      </c>
      <c r="F93" s="312">
        <v>42387725</v>
      </c>
      <c r="G93" s="314">
        <f>IF(ISBLANK(F93),"-",$D$101/$F$98*F93)</f>
        <v>44427741.693681523</v>
      </c>
      <c r="I93" s="486"/>
    </row>
    <row r="94" spans="1:12" ht="27" customHeight="1" x14ac:dyDescent="0.4">
      <c r="A94" s="299" t="s">
        <v>69</v>
      </c>
      <c r="B94" s="300">
        <v>1</v>
      </c>
      <c r="C94" s="389">
        <v>4</v>
      </c>
      <c r="D94" s="317">
        <v>38677839</v>
      </c>
      <c r="E94" s="318">
        <f>IF(ISBLANK(D94),"-",$D$101/$D$98*D94)</f>
        <v>43137740.21881184</v>
      </c>
      <c r="F94" s="459">
        <v>42536045</v>
      </c>
      <c r="G94" s="319">
        <f>IF(ISBLANK(F94),"-",$D$101/$F$98*F94)</f>
        <v>44583199.969585851</v>
      </c>
      <c r="I94" s="320"/>
    </row>
    <row r="95" spans="1:12" ht="27" customHeight="1" x14ac:dyDescent="0.4">
      <c r="A95" s="299" t="s">
        <v>70</v>
      </c>
      <c r="B95" s="300">
        <v>1</v>
      </c>
      <c r="C95" s="390" t="s">
        <v>71</v>
      </c>
      <c r="D95" s="391">
        <f>AVERAGE(D91:D94)</f>
        <v>38940315.5</v>
      </c>
      <c r="E95" s="323">
        <f>AVERAGE(E91:E94)</f>
        <v>43430482.609888628</v>
      </c>
      <c r="F95" s="392">
        <f>AVERAGE(F91:F94)</f>
        <v>42425440.75</v>
      </c>
      <c r="G95" s="393">
        <f>AVERAGE(G91:G94)</f>
        <v>44467272.609737605</v>
      </c>
    </row>
    <row r="96" spans="1:12" ht="26.25" customHeight="1" x14ac:dyDescent="0.4">
      <c r="A96" s="299" t="s">
        <v>72</v>
      </c>
      <c r="B96" s="285">
        <v>1</v>
      </c>
      <c r="C96" s="394" t="s">
        <v>113</v>
      </c>
      <c r="D96" s="395">
        <v>21.53</v>
      </c>
      <c r="E96" s="315"/>
      <c r="F96" s="327">
        <v>22.91</v>
      </c>
    </row>
    <row r="97" spans="1:10" ht="26.25" customHeight="1" x14ac:dyDescent="0.4">
      <c r="A97" s="299" t="s">
        <v>74</v>
      </c>
      <c r="B97" s="285">
        <v>1</v>
      </c>
      <c r="C97" s="396" t="s">
        <v>114</v>
      </c>
      <c r="D97" s="397">
        <f>D96*$B$87</f>
        <v>21.53</v>
      </c>
      <c r="E97" s="330"/>
      <c r="F97" s="329">
        <f>F96*$B$87</f>
        <v>22.91</v>
      </c>
    </row>
    <row r="98" spans="1:10" ht="19.5" customHeight="1" x14ac:dyDescent="0.3">
      <c r="A98" s="299" t="s">
        <v>76</v>
      </c>
      <c r="B98" s="398">
        <f>(B97/B96)*(B95/B94)*(B93/B92)*(B91/B90)*B89</f>
        <v>166.66666666666669</v>
      </c>
      <c r="C98" s="396" t="s">
        <v>115</v>
      </c>
      <c r="D98" s="399">
        <f>D97*$B$83/100</f>
        <v>20.754920000000002</v>
      </c>
      <c r="E98" s="333"/>
      <c r="F98" s="332">
        <f>F97*$B$83/100</f>
        <v>22.085240000000002</v>
      </c>
    </row>
    <row r="99" spans="1:10" ht="19.5" customHeight="1" x14ac:dyDescent="0.3">
      <c r="A99" s="472" t="s">
        <v>78</v>
      </c>
      <c r="B99" s="487"/>
      <c r="C99" s="396" t="s">
        <v>116</v>
      </c>
      <c r="D99" s="400">
        <f>D98/$B$98</f>
        <v>0.12452952</v>
      </c>
      <c r="E99" s="333"/>
      <c r="F99" s="336">
        <f>F98/$B$98</f>
        <v>0.13251144000000001</v>
      </c>
      <c r="G99" s="401"/>
      <c r="H99" s="325"/>
    </row>
    <row r="100" spans="1:10" ht="19.5" customHeight="1" x14ac:dyDescent="0.3">
      <c r="A100" s="474"/>
      <c r="B100" s="488"/>
      <c r="C100" s="396" t="s">
        <v>80</v>
      </c>
      <c r="D100" s="402">
        <f>$B$56/$B$116</f>
        <v>0.1388888888888889</v>
      </c>
      <c r="F100" s="341"/>
      <c r="G100" s="403"/>
      <c r="H100" s="325"/>
    </row>
    <row r="101" spans="1:10" ht="18.75" x14ac:dyDescent="0.3">
      <c r="C101" s="396" t="s">
        <v>81</v>
      </c>
      <c r="D101" s="397">
        <f>D100*$B$98</f>
        <v>23.148148148148152</v>
      </c>
      <c r="F101" s="341"/>
      <c r="G101" s="401"/>
      <c r="H101" s="325"/>
    </row>
    <row r="102" spans="1:10" ht="19.5" customHeight="1" x14ac:dyDescent="0.3">
      <c r="C102" s="404" t="s">
        <v>82</v>
      </c>
      <c r="D102" s="405">
        <f>D101/B34</f>
        <v>23.148148148148152</v>
      </c>
      <c r="F102" s="345"/>
      <c r="G102" s="401"/>
      <c r="H102" s="325"/>
      <c r="J102" s="406"/>
    </row>
    <row r="103" spans="1:10" ht="18.75" x14ac:dyDescent="0.3">
      <c r="C103" s="407" t="s">
        <v>117</v>
      </c>
      <c r="D103" s="408">
        <f>AVERAGE(E91:E94,G91:G94)</f>
        <v>43948877.609813116</v>
      </c>
      <c r="F103" s="345"/>
      <c r="G103" s="409"/>
      <c r="H103" s="325"/>
      <c r="J103" s="410"/>
    </row>
    <row r="104" spans="1:10" ht="18.75" x14ac:dyDescent="0.3">
      <c r="C104" s="375" t="s">
        <v>84</v>
      </c>
      <c r="D104" s="411">
        <f>STDEV(E91:E94,G91:G94)/D103</f>
        <v>1.3045560465079991E-2</v>
      </c>
      <c r="F104" s="345"/>
      <c r="G104" s="401"/>
      <c r="H104" s="325"/>
      <c r="J104" s="410"/>
    </row>
    <row r="105" spans="1:10" ht="19.5" customHeight="1" x14ac:dyDescent="0.3">
      <c r="C105" s="377" t="s">
        <v>20</v>
      </c>
      <c r="D105" s="412">
        <f>COUNT(E91:E94,G91:G94)</f>
        <v>8</v>
      </c>
      <c r="F105" s="345"/>
      <c r="G105" s="401"/>
      <c r="H105" s="325"/>
      <c r="J105" s="410"/>
    </row>
    <row r="106" spans="1:10" ht="19.5" customHeight="1" x14ac:dyDescent="0.3">
      <c r="A106" s="349"/>
      <c r="B106" s="349"/>
      <c r="C106" s="349"/>
      <c r="D106" s="349"/>
      <c r="E106" s="349"/>
    </row>
    <row r="107" spans="1:10" ht="26.25" customHeight="1" x14ac:dyDescent="0.4">
      <c r="A107" s="297" t="s">
        <v>118</v>
      </c>
      <c r="B107" s="298">
        <v>900</v>
      </c>
      <c r="C107" s="413" t="s">
        <v>119</v>
      </c>
      <c r="D107" s="414" t="s">
        <v>63</v>
      </c>
      <c r="E107" s="415" t="s">
        <v>120</v>
      </c>
      <c r="F107" s="416" t="s">
        <v>121</v>
      </c>
    </row>
    <row r="108" spans="1:10" ht="26.25" customHeight="1" x14ac:dyDescent="0.4">
      <c r="A108" s="299" t="s">
        <v>122</v>
      </c>
      <c r="B108" s="300">
        <v>1</v>
      </c>
      <c r="C108" s="417">
        <v>1</v>
      </c>
      <c r="D108" s="418">
        <v>39282012</v>
      </c>
      <c r="E108" s="446">
        <f t="shared" ref="E108:E113" si="1">IF(ISBLANK(D108),"-",D108/$D$103*$D$100*$B$116)</f>
        <v>111.72643687500261</v>
      </c>
      <c r="F108" s="457">
        <f t="shared" ref="F108:F113" si="2">IF(ISBLANK(D108), "-", E108/$B$56)</f>
        <v>0.89381149500002088</v>
      </c>
    </row>
    <row r="109" spans="1:10" ht="26.25" customHeight="1" x14ac:dyDescent="0.4">
      <c r="A109" s="299" t="s">
        <v>95</v>
      </c>
      <c r="B109" s="300">
        <v>1</v>
      </c>
      <c r="C109" s="417">
        <v>2</v>
      </c>
      <c r="D109" s="418">
        <v>40729481</v>
      </c>
      <c r="E109" s="447">
        <f t="shared" si="1"/>
        <v>115.84334804179882</v>
      </c>
      <c r="F109" s="456">
        <f t="shared" si="2"/>
        <v>0.92674678433439051</v>
      </c>
    </row>
    <row r="110" spans="1:10" ht="26.25" customHeight="1" x14ac:dyDescent="0.4">
      <c r="A110" s="299" t="s">
        <v>96</v>
      </c>
      <c r="B110" s="300">
        <v>1</v>
      </c>
      <c r="C110" s="417">
        <v>3</v>
      </c>
      <c r="D110" s="418">
        <v>41023192</v>
      </c>
      <c r="E110" s="447">
        <f t="shared" si="1"/>
        <v>116.67872489319313</v>
      </c>
      <c r="F110" s="456">
        <f t="shared" si="2"/>
        <v>0.93342979914554502</v>
      </c>
    </row>
    <row r="111" spans="1:10" ht="26.25" customHeight="1" x14ac:dyDescent="0.4">
      <c r="A111" s="299" t="s">
        <v>97</v>
      </c>
      <c r="B111" s="300">
        <v>1</v>
      </c>
      <c r="C111" s="417">
        <v>4</v>
      </c>
      <c r="D111" s="418">
        <v>40928293</v>
      </c>
      <c r="E111" s="447">
        <f t="shared" si="1"/>
        <v>116.40881185683948</v>
      </c>
      <c r="F111" s="456">
        <f t="shared" si="2"/>
        <v>0.9312704948547158</v>
      </c>
    </row>
    <row r="112" spans="1:10" ht="26.25" customHeight="1" x14ac:dyDescent="0.4">
      <c r="A112" s="299" t="s">
        <v>98</v>
      </c>
      <c r="B112" s="300">
        <v>1</v>
      </c>
      <c r="C112" s="417">
        <v>5</v>
      </c>
      <c r="D112" s="418">
        <v>41101463</v>
      </c>
      <c r="E112" s="447">
        <f t="shared" si="1"/>
        <v>116.90134434406657</v>
      </c>
      <c r="F112" s="456">
        <f t="shared" si="2"/>
        <v>0.93521075475253257</v>
      </c>
    </row>
    <row r="113" spans="1:10" ht="26.25" customHeight="1" x14ac:dyDescent="0.4">
      <c r="A113" s="299" t="s">
        <v>100</v>
      </c>
      <c r="B113" s="300">
        <v>1</v>
      </c>
      <c r="C113" s="419">
        <v>6</v>
      </c>
      <c r="D113" s="420">
        <v>41179376</v>
      </c>
      <c r="E113" s="448">
        <f t="shared" si="1"/>
        <v>117.12294556643376</v>
      </c>
      <c r="F113" s="458">
        <f t="shared" si="2"/>
        <v>0.93698356453147003</v>
      </c>
    </row>
    <row r="114" spans="1:10" ht="26.25" customHeight="1" x14ac:dyDescent="0.4">
      <c r="A114" s="299" t="s">
        <v>101</v>
      </c>
      <c r="B114" s="300">
        <v>1</v>
      </c>
      <c r="C114" s="417"/>
      <c r="D114" s="372"/>
      <c r="E114" s="273"/>
      <c r="F114" s="421"/>
    </row>
    <row r="115" spans="1:10" ht="26.25" customHeight="1" x14ac:dyDescent="0.4">
      <c r="A115" s="299" t="s">
        <v>102</v>
      </c>
      <c r="B115" s="300">
        <v>1</v>
      </c>
      <c r="C115" s="417"/>
      <c r="D115" s="422" t="s">
        <v>71</v>
      </c>
      <c r="E115" s="450">
        <f>AVERAGE(E108:E113)</f>
        <v>115.7802685962224</v>
      </c>
      <c r="F115" s="423">
        <f>AVERAGE(F108:F113)</f>
        <v>0.92624214876977928</v>
      </c>
    </row>
    <row r="116" spans="1:10" ht="27" customHeight="1" x14ac:dyDescent="0.4">
      <c r="A116" s="299" t="s">
        <v>103</v>
      </c>
      <c r="B116" s="331">
        <f>(B115/B114)*(B113/B112)*(B111/B110)*(B109/B108)*B107</f>
        <v>900</v>
      </c>
      <c r="C116" s="424"/>
      <c r="D116" s="390" t="s">
        <v>84</v>
      </c>
      <c r="E116" s="425">
        <f>STDEV(E108:E113)/E115</f>
        <v>1.7573548438421047E-2</v>
      </c>
      <c r="F116" s="425">
        <f>STDEV(F108:F113)/F115</f>
        <v>1.7573548438421016E-2</v>
      </c>
      <c r="I116" s="273"/>
    </row>
    <row r="117" spans="1:10" ht="27" customHeight="1" x14ac:dyDescent="0.4">
      <c r="A117" s="472" t="s">
        <v>78</v>
      </c>
      <c r="B117" s="473"/>
      <c r="C117" s="426"/>
      <c r="D117" s="427" t="s">
        <v>20</v>
      </c>
      <c r="E117" s="428">
        <f>COUNT(E108:E113)</f>
        <v>6</v>
      </c>
      <c r="F117" s="428">
        <f>COUNT(F108:F113)</f>
        <v>6</v>
      </c>
      <c r="I117" s="273"/>
      <c r="J117" s="410"/>
    </row>
    <row r="118" spans="1:10" ht="19.5" customHeight="1" x14ac:dyDescent="0.3">
      <c r="A118" s="474"/>
      <c r="B118" s="475"/>
      <c r="C118" s="273"/>
      <c r="D118" s="273"/>
      <c r="E118" s="273"/>
      <c r="F118" s="372"/>
      <c r="G118" s="273"/>
      <c r="H118" s="273"/>
      <c r="I118" s="273"/>
    </row>
    <row r="119" spans="1:10" ht="18.75" x14ac:dyDescent="0.3">
      <c r="A119" s="437"/>
      <c r="B119" s="295"/>
      <c r="C119" s="273"/>
      <c r="D119" s="273"/>
      <c r="E119" s="273"/>
      <c r="F119" s="372"/>
      <c r="G119" s="273"/>
      <c r="H119" s="273"/>
      <c r="I119" s="273"/>
    </row>
    <row r="120" spans="1:10" ht="26.25" customHeight="1" x14ac:dyDescent="0.4">
      <c r="A120" s="283" t="s">
        <v>106</v>
      </c>
      <c r="B120" s="379" t="s">
        <v>123</v>
      </c>
      <c r="C120" s="476" t="str">
        <f>B20</f>
        <v>Amoxicillin &amp; Clavulanic Acid</v>
      </c>
      <c r="D120" s="476"/>
      <c r="E120" s="380" t="s">
        <v>124</v>
      </c>
      <c r="F120" s="380"/>
      <c r="G120" s="381">
        <f>F115</f>
        <v>0.92624214876977928</v>
      </c>
      <c r="H120" s="273"/>
      <c r="I120" s="273"/>
    </row>
    <row r="121" spans="1:10" ht="19.5" customHeight="1" x14ac:dyDescent="0.3">
      <c r="A121" s="429"/>
      <c r="B121" s="429"/>
      <c r="C121" s="430"/>
      <c r="D121" s="430"/>
      <c r="E121" s="430"/>
      <c r="F121" s="430"/>
      <c r="G121" s="430"/>
      <c r="H121" s="430"/>
    </row>
    <row r="122" spans="1:10" ht="18.75" x14ac:dyDescent="0.3">
      <c r="B122" s="477" t="s">
        <v>26</v>
      </c>
      <c r="C122" s="477"/>
      <c r="E122" s="386" t="s">
        <v>27</v>
      </c>
      <c r="F122" s="431"/>
      <c r="G122" s="477" t="s">
        <v>28</v>
      </c>
      <c r="H122" s="477"/>
    </row>
    <row r="123" spans="1:10" ht="69.95" customHeight="1" x14ac:dyDescent="0.3">
      <c r="A123" s="432" t="s">
        <v>29</v>
      </c>
      <c r="B123" s="433"/>
      <c r="C123" s="433"/>
      <c r="E123" s="433"/>
      <c r="F123" s="273"/>
      <c r="G123" s="434"/>
      <c r="H123" s="434"/>
    </row>
    <row r="124" spans="1:10" ht="69.95" customHeight="1" x14ac:dyDescent="0.3">
      <c r="A124" s="432" t="s">
        <v>30</v>
      </c>
      <c r="B124" s="435"/>
      <c r="C124" s="435"/>
      <c r="E124" s="435"/>
      <c r="F124" s="273"/>
      <c r="G124" s="436"/>
      <c r="H124" s="436"/>
    </row>
    <row r="125" spans="1:10" ht="18.75" x14ac:dyDescent="0.3">
      <c r="A125" s="371"/>
      <c r="B125" s="371"/>
      <c r="C125" s="372"/>
      <c r="D125" s="372"/>
      <c r="E125" s="372"/>
      <c r="F125" s="376"/>
      <c r="G125" s="372"/>
      <c r="H125" s="372"/>
      <c r="I125" s="273"/>
    </row>
    <row r="126" spans="1:10" ht="18.75" x14ac:dyDescent="0.3">
      <c r="A126" s="371"/>
      <c r="B126" s="371"/>
      <c r="C126" s="372"/>
      <c r="D126" s="372"/>
      <c r="E126" s="372"/>
      <c r="F126" s="376"/>
      <c r="G126" s="372"/>
      <c r="H126" s="372"/>
      <c r="I126" s="273"/>
    </row>
    <row r="127" spans="1:10" ht="18.75" x14ac:dyDescent="0.3">
      <c r="A127" s="371"/>
      <c r="B127" s="371"/>
      <c r="C127" s="372"/>
      <c r="D127" s="372"/>
      <c r="E127" s="372"/>
      <c r="F127" s="376"/>
      <c r="G127" s="372"/>
      <c r="H127" s="372"/>
      <c r="I127" s="273"/>
    </row>
    <row r="128" spans="1:10" ht="18.75" x14ac:dyDescent="0.3">
      <c r="A128" s="371"/>
      <c r="B128" s="371"/>
      <c r="C128" s="372"/>
      <c r="D128" s="372"/>
      <c r="E128" s="372"/>
      <c r="F128" s="376"/>
      <c r="G128" s="372"/>
      <c r="H128" s="372"/>
      <c r="I128" s="273"/>
    </row>
    <row r="129" spans="1:9" ht="18.75" x14ac:dyDescent="0.3">
      <c r="A129" s="371"/>
      <c r="B129" s="371"/>
      <c r="C129" s="372"/>
      <c r="D129" s="372"/>
      <c r="E129" s="372"/>
      <c r="F129" s="376"/>
      <c r="G129" s="372"/>
      <c r="H129" s="372"/>
      <c r="I129" s="273"/>
    </row>
    <row r="130" spans="1:9" ht="18.75" x14ac:dyDescent="0.3">
      <c r="A130" s="371"/>
      <c r="B130" s="371"/>
      <c r="C130" s="372"/>
      <c r="D130" s="372"/>
      <c r="E130" s="372"/>
      <c r="F130" s="376"/>
      <c r="G130" s="372"/>
      <c r="H130" s="372"/>
      <c r="I130" s="273"/>
    </row>
    <row r="131" spans="1:9" ht="18.75" x14ac:dyDescent="0.3">
      <c r="A131" s="371"/>
      <c r="B131" s="371"/>
      <c r="C131" s="372"/>
      <c r="D131" s="372"/>
      <c r="E131" s="372"/>
      <c r="F131" s="376"/>
      <c r="G131" s="372"/>
      <c r="H131" s="372"/>
      <c r="I131" s="273"/>
    </row>
    <row r="132" spans="1:9" ht="18.75" x14ac:dyDescent="0.3">
      <c r="A132" s="371"/>
      <c r="B132" s="371"/>
      <c r="C132" s="372"/>
      <c r="D132" s="372"/>
      <c r="E132" s="372"/>
      <c r="F132" s="376"/>
      <c r="G132" s="372"/>
      <c r="H132" s="372"/>
      <c r="I132" s="273"/>
    </row>
    <row r="133" spans="1:9" ht="18.75" x14ac:dyDescent="0.3">
      <c r="A133" s="371"/>
      <c r="B133" s="371"/>
      <c r="C133" s="372"/>
      <c r="D133" s="372"/>
      <c r="E133" s="372"/>
      <c r="F133" s="376"/>
      <c r="G133" s="372"/>
      <c r="H133" s="372"/>
      <c r="I133" s="27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 (Amoxicillin)</vt:lpstr>
      <vt:lpstr>SST (clavulanate)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2016-05-10T10:25:36Z</cp:lastPrinted>
  <dcterms:created xsi:type="dcterms:W3CDTF">2005-07-05T10:19:27Z</dcterms:created>
  <dcterms:modified xsi:type="dcterms:W3CDTF">2016-06-14T12:59:12Z</dcterms:modified>
  <cp:category/>
</cp:coreProperties>
</file>