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(clavulanate)" sheetId="9" r:id="rId1"/>
    <sheet name="SST (Amoxicillin) " sheetId="8" r:id="rId2"/>
    <sheet name="Uniformity" sheetId="2" r:id="rId3"/>
    <sheet name="amoxicillin Trihydrate" sheetId="4" r:id="rId4"/>
    <sheet name="Clavulanic acid" sheetId="5" r:id="rId5"/>
  </sheets>
  <definedNames>
    <definedName name="_xlnm.Print_Area" localSheetId="2">Uniformity!$A$1:$O$54</definedName>
  </definedNames>
  <calcPr calcId="145621"/>
</workbook>
</file>

<file path=xl/calcChain.xml><?xml version="1.0" encoding="utf-8"?>
<calcChain xmlns="http://schemas.openxmlformats.org/spreadsheetml/2006/main">
  <c r="B17" i="8" l="1"/>
  <c r="B17" i="9"/>
  <c r="B53" i="9"/>
  <c r="E51" i="9"/>
  <c r="D51" i="9"/>
  <c r="C51" i="9"/>
  <c r="B51" i="9"/>
  <c r="B52" i="9" s="1"/>
  <c r="B32" i="9"/>
  <c r="E30" i="9"/>
  <c r="D30" i="9"/>
  <c r="C30" i="9"/>
  <c r="B30" i="9"/>
  <c r="B31" i="9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G120" i="5" l="1"/>
  <c r="F115" i="5"/>
  <c r="F115" i="4" l="1"/>
  <c r="B69" i="5" l="1"/>
  <c r="H72" i="4"/>
  <c r="G76" i="4"/>
  <c r="F80" i="4" l="1"/>
  <c r="B81" i="5" l="1"/>
  <c r="B87" i="4"/>
  <c r="H63" i="5" l="1"/>
  <c r="H67" i="5"/>
  <c r="B69" i="4"/>
  <c r="B57" i="5"/>
  <c r="C120" i="5"/>
  <c r="B116" i="5"/>
  <c r="D100" i="5" s="1"/>
  <c r="B98" i="5"/>
  <c r="F95" i="5"/>
  <c r="D95" i="5"/>
  <c r="B87" i="5"/>
  <c r="F97" i="5" s="1"/>
  <c r="B83" i="5"/>
  <c r="B80" i="5"/>
  <c r="B79" i="5"/>
  <c r="C76" i="5"/>
  <c r="H71" i="5"/>
  <c r="G71" i="5"/>
  <c r="B68" i="5"/>
  <c r="G67" i="5"/>
  <c r="G63" i="5"/>
  <c r="C56" i="5"/>
  <c r="B55" i="5"/>
  <c r="B45" i="5"/>
  <c r="D48" i="5" s="1"/>
  <c r="G41" i="5" s="1"/>
  <c r="F42" i="5"/>
  <c r="D42" i="5"/>
  <c r="B34" i="5"/>
  <c r="F44" i="5" s="1"/>
  <c r="F45" i="5" s="1"/>
  <c r="B30" i="5"/>
  <c r="C120" i="4"/>
  <c r="B116" i="4"/>
  <c r="D100" i="4" s="1"/>
  <c r="B98" i="4"/>
  <c r="F95" i="4"/>
  <c r="D95" i="4"/>
  <c r="F9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92" i="4" l="1"/>
  <c r="E41" i="5"/>
  <c r="F46" i="5"/>
  <c r="F98" i="5"/>
  <c r="F99" i="5" s="1"/>
  <c r="D101" i="4"/>
  <c r="D101" i="5"/>
  <c r="G93" i="5" s="1"/>
  <c r="I92" i="5"/>
  <c r="I39" i="5"/>
  <c r="G94" i="5"/>
  <c r="G40" i="5"/>
  <c r="G39" i="5"/>
  <c r="D49" i="5"/>
  <c r="G38" i="5"/>
  <c r="D44" i="5"/>
  <c r="D45" i="5" s="1"/>
  <c r="D46" i="5" s="1"/>
  <c r="D97" i="5"/>
  <c r="D98" i="5" s="1"/>
  <c r="D99" i="5" s="1"/>
  <c r="I39" i="4"/>
  <c r="D46" i="4"/>
  <c r="D102" i="4"/>
  <c r="D49" i="4"/>
  <c r="E40" i="4"/>
  <c r="E38" i="4"/>
  <c r="E41" i="4"/>
  <c r="E39" i="4"/>
  <c r="F98" i="4"/>
  <c r="F99" i="4" s="1"/>
  <c r="F44" i="4"/>
  <c r="F45" i="4" s="1"/>
  <c r="F46" i="4" s="1"/>
  <c r="B57" i="4"/>
  <c r="D25" i="2"/>
  <c r="D29" i="2"/>
  <c r="D33" i="2"/>
  <c r="D37" i="2"/>
  <c r="D41" i="2"/>
  <c r="D97" i="4"/>
  <c r="D98" i="4" s="1"/>
  <c r="D99" i="4" s="1"/>
  <c r="C50" i="2"/>
  <c r="D26" i="2"/>
  <c r="D30" i="2"/>
  <c r="D34" i="2"/>
  <c r="D38" i="2"/>
  <c r="D42" i="2"/>
  <c r="B49" i="2"/>
  <c r="D102" i="5" l="1"/>
  <c r="E42" i="4"/>
  <c r="G92" i="5"/>
  <c r="G91" i="5"/>
  <c r="G95" i="5" s="1"/>
  <c r="E40" i="5"/>
  <c r="E38" i="5"/>
  <c r="E94" i="5"/>
  <c r="E93" i="5"/>
  <c r="G42" i="5"/>
  <c r="E39" i="5"/>
  <c r="E91" i="5"/>
  <c r="E92" i="5"/>
  <c r="E91" i="4"/>
  <c r="E92" i="4"/>
  <c r="G94" i="4"/>
  <c r="G93" i="4"/>
  <c r="G40" i="4"/>
  <c r="G41" i="4"/>
  <c r="G92" i="4"/>
  <c r="G91" i="4"/>
  <c r="G95" i="4" s="1"/>
  <c r="G39" i="4"/>
  <c r="G38" i="4"/>
  <c r="E94" i="4"/>
  <c r="E93" i="4"/>
  <c r="E95" i="4" l="1"/>
  <c r="D105" i="4"/>
  <c r="D103" i="4"/>
  <c r="E108" i="4" s="1"/>
  <c r="E95" i="5"/>
  <c r="D105" i="5"/>
  <c r="D103" i="5"/>
  <c r="D50" i="5"/>
  <c r="E42" i="5"/>
  <c r="D52" i="5"/>
  <c r="G42" i="4"/>
  <c r="D50" i="4"/>
  <c r="G69" i="4" s="1"/>
  <c r="H69" i="4" s="1"/>
  <c r="D52" i="4"/>
  <c r="G64" i="4" l="1"/>
  <c r="H64" i="4" s="1"/>
  <c r="E110" i="4"/>
  <c r="F110" i="4" s="1"/>
  <c r="E112" i="4"/>
  <c r="F112" i="4" s="1"/>
  <c r="E109" i="4"/>
  <c r="F109" i="4" s="1"/>
  <c r="E111" i="4"/>
  <c r="F111" i="4" s="1"/>
  <c r="E113" i="4"/>
  <c r="F113" i="4" s="1"/>
  <c r="D104" i="4"/>
  <c r="G65" i="5"/>
  <c r="H65" i="5" s="1"/>
  <c r="G61" i="5"/>
  <c r="H61" i="5" s="1"/>
  <c r="G68" i="5"/>
  <c r="H68" i="5" s="1"/>
  <c r="G70" i="5"/>
  <c r="H70" i="5" s="1"/>
  <c r="G66" i="5"/>
  <c r="H66" i="5" s="1"/>
  <c r="G64" i="5"/>
  <c r="H64" i="5" s="1"/>
  <c r="G62" i="5"/>
  <c r="H62" i="5" s="1"/>
  <c r="G60" i="5"/>
  <c r="G69" i="5"/>
  <c r="H69" i="5" s="1"/>
  <c r="D51" i="5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G67" i="4"/>
  <c r="H67" i="4" s="1"/>
  <c r="G70" i="4"/>
  <c r="H70" i="4" s="1"/>
  <c r="G66" i="4"/>
  <c r="H66" i="4" s="1"/>
  <c r="G61" i="4"/>
  <c r="H61" i="4" s="1"/>
  <c r="D51" i="4"/>
  <c r="G71" i="4"/>
  <c r="H71" i="4" s="1"/>
  <c r="G63" i="4"/>
  <c r="H63" i="4" s="1"/>
  <c r="G62" i="4"/>
  <c r="H62" i="4" s="1"/>
  <c r="G68" i="4"/>
  <c r="H68" i="4" s="1"/>
  <c r="G65" i="4"/>
  <c r="H65" i="4" s="1"/>
  <c r="G60" i="4"/>
  <c r="H60" i="4" s="1"/>
  <c r="F108" i="4"/>
  <c r="G120" i="4" l="1"/>
  <c r="E115" i="4"/>
  <c r="E116" i="4" s="1"/>
  <c r="E117" i="4"/>
  <c r="H60" i="5"/>
  <c r="G74" i="5"/>
  <c r="G72" i="5"/>
  <c r="G73" i="5" s="1"/>
  <c r="E115" i="5"/>
  <c r="E116" i="5" s="1"/>
  <c r="E117" i="5"/>
  <c r="F108" i="5"/>
  <c r="G74" i="4"/>
  <c r="G72" i="4"/>
  <c r="G73" i="4" s="1"/>
  <c r="H74" i="4"/>
  <c r="F117" i="4"/>
  <c r="H72" i="5" l="1"/>
  <c r="G76" i="5" s="1"/>
  <c r="F117" i="5"/>
  <c r="H74" i="5"/>
  <c r="F116" i="4"/>
  <c r="H73" i="4"/>
  <c r="F116" i="5" l="1"/>
</calcChain>
</file>

<file path=xl/sharedStrings.xml><?xml version="1.0" encoding="utf-8"?>
<sst xmlns="http://schemas.openxmlformats.org/spreadsheetml/2006/main" count="436" uniqueCount="130">
  <si>
    <t>HPLC System Suitability Report</t>
  </si>
  <si>
    <t>Analysis Data</t>
  </si>
  <si>
    <t>Assay</t>
  </si>
  <si>
    <t>Sample(s)</t>
  </si>
  <si>
    <t>Reference Substance:</t>
  </si>
  <si>
    <t>Aivclav-1000 Tablets</t>
  </si>
  <si>
    <t>% age Purity:</t>
  </si>
  <si>
    <t>NDQD201512620</t>
  </si>
  <si>
    <t>Weight (mg):</t>
  </si>
  <si>
    <t>Amoxicillin &amp; Clavulanic Acid</t>
  </si>
  <si>
    <t>Standard Conc (mg/mL):</t>
  </si>
  <si>
    <t>Each film coated tablet contains: Amoxicillin Trihydrate USP eq. to Amoxicillin 875mg
Diluted Potassium Clavulanate BP eq. to Clavulanic acid 125mg</t>
  </si>
  <si>
    <t>2015-12-09 08:30:29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</si>
  <si>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</si>
  <si>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</si>
  <si>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</si>
  <si>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</si>
  <si>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</si>
  <si>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</si>
  <si>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</si>
  <si>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</si>
  <si>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</si>
  <si>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</si>
  <si>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</si>
  <si>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</si>
  <si>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</si>
  <si>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</si>
  <si>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</si>
  <si>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</si>
  <si>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</si>
  <si>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</si>
  <si>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</si>
  <si>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</si>
  <si>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</si>
  <si>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</si>
  <si>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</si>
  <si>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</si>
  <si>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</si>
  <si>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</si>
  <si>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</si>
  <si>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</si>
  <si>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</si>
  <si>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Laboratory Data Calculation Spreadsheet</t>
  </si>
  <si>
    <t>Analysis Report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</si>
  <si>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</si>
  <si>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</si>
  <si>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</si>
  <si>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</si>
  <si>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</si>
  <si>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National Quality Control Laboratory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</si>
  <si>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</si>
  <si>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</si>
  <si>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</si>
  <si>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</si>
  <si>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</si>
  <si>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</si>
  <si>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</si>
  <si>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</si>
  <si>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</si>
  <si>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</si>
  <si>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</si>
  <si>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</si>
  <si>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</si>
  <si>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</si>
  <si>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</si>
  <si>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</si>
  <si>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</si>
  <si>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</si>
  <si>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</si>
  <si>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</si>
  <si>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</si>
  <si>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</si>
  <si>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</si>
  <si>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</si>
  <si>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</si>
  <si>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</si>
  <si>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</si>
  <si>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</si>
  <si>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</si>
  <si>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</si>
  <si>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</si>
  <si>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</si>
  <si>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</si>
  <si>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</si>
  <si>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</si>
  <si>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</si>
  <si>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</si>
  <si>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</si>
  <si>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</si>
  <si>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</si>
  <si>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</si>
  <si>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</si>
  <si>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</si>
  <si>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</si>
  <si>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</si>
  <si>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</si>
  <si>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</si>
  <si>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</si>
  <si>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</si>
  <si>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</si>
  <si>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</si>
  <si>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</si>
  <si>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</si>
  <si>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</si>
  <si>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</si>
  <si>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</si>
  <si>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</si>
  <si>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</si>
  <si>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</si>
  <si>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</si>
  <si>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</si>
  <si>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</si>
  <si>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</si>
  <si>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</si>
  <si>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</si>
  <si>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</si>
  <si>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</si>
  <si>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</si>
  <si>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</si>
  <si>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</si>
  <si>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</si>
  <si>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</si>
  <si>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</si>
  <si>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</si>
  <si>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 xml:space="preserve"> </t>
  </si>
  <si>
    <t>Amoxicillin Trihydrate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</si>
  <si>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</si>
  <si>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</si>
  <si>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</si>
  <si>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Clavulanate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</si>
</sst>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dd\-mmm\-yy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23" fillId="2" borderId="0"/>
    <xf numFmtId="0" fontId="24" fillId="2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9" fontId="14" fillId="3" borderId="0" xfId="0" applyNumberFormat="1" applyFont="1" applyFill="1" applyAlignment="1" applyProtection="1">
      <alignment horizontal="center"/>
      <protection locked="0"/>
    </xf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20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3" fillId="3" borderId="30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>
      <alignment horizontal="right"/>
    </xf>
    <xf numFmtId="0" fontId="13" fillId="3" borderId="40" xfId="0" applyFont="1" applyFill="1" applyBorder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71" fontId="10" fillId="2" borderId="41" xfId="0" applyNumberFormat="1" applyFont="1" applyFill="1" applyBorder="1" applyAlignment="1">
      <alignment horizontal="center"/>
    </xf>
    <xf numFmtId="171" fontId="10" fillId="2" borderId="44" xfId="0" applyNumberFormat="1" applyFont="1" applyFill="1" applyBorder="1" applyAlignment="1">
      <alignment horizontal="center"/>
    </xf>
    <xf numFmtId="0" fontId="20" fillId="2" borderId="13" xfId="0" applyFont="1" applyFill="1" applyBorder="1"/>
    <xf numFmtId="0" fontId="10" fillId="2" borderId="40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71" fontId="10" fillId="2" borderId="45" xfId="0" applyNumberFormat="1" applyFont="1" applyFill="1" applyBorder="1" applyAlignment="1">
      <alignment horizontal="center"/>
    </xf>
    <xf numFmtId="171" fontId="10" fillId="2" borderId="4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47" xfId="0" applyFont="1" applyFill="1" applyBorder="1" applyAlignment="1">
      <alignment horizontal="center"/>
    </xf>
    <xf numFmtId="0" fontId="13" fillId="3" borderId="25" xfId="0" applyFont="1" applyFill="1" applyBorder="1" applyAlignment="1" applyProtection="1">
      <alignment horizontal="center"/>
      <protection locked="0"/>
    </xf>
    <xf numFmtId="171" fontId="10" fillId="2" borderId="48" xfId="0" applyNumberFormat="1" applyFont="1" applyFill="1" applyBorder="1" applyAlignment="1">
      <alignment horizontal="center"/>
    </xf>
    <xf numFmtId="171" fontId="10" fillId="2" borderId="49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40" xfId="0" applyFont="1" applyFill="1" applyBorder="1" applyAlignment="1">
      <alignment horizontal="right"/>
    </xf>
    <xf numFmtId="1" fontId="11" fillId="6" borderId="23" xfId="0" applyNumberFormat="1" applyFont="1" applyFill="1" applyBorder="1" applyAlignment="1">
      <alignment horizontal="center"/>
    </xf>
    <xf numFmtId="171" fontId="11" fillId="6" borderId="50" xfId="0" applyNumberFormat="1" applyFont="1" applyFill="1" applyBorder="1" applyAlignment="1">
      <alignment horizontal="center"/>
    </xf>
    <xf numFmtId="171" fontId="11" fillId="6" borderId="5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28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right"/>
    </xf>
    <xf numFmtId="166" fontId="13" fillId="3" borderId="27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4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27" xfId="0" applyNumberFormat="1" applyFont="1" applyFill="1" applyBorder="1" applyAlignment="1">
      <alignment horizontal="center"/>
    </xf>
    <xf numFmtId="0" fontId="10" fillId="2" borderId="52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 vertical="center"/>
    </xf>
    <xf numFmtId="10" fontId="10" fillId="2" borderId="40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/>
    </xf>
    <xf numFmtId="2" fontId="14" fillId="2" borderId="39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2" xfId="0" applyFont="1" applyFill="1" applyBorder="1" applyAlignment="1">
      <alignment horizontal="right"/>
    </xf>
    <xf numFmtId="10" fontId="13" fillId="7" borderId="47" xfId="0" applyNumberFormat="1" applyFont="1" applyFill="1" applyBorder="1" applyAlignment="1">
      <alignment horizontal="center"/>
    </xf>
    <xf numFmtId="0" fontId="10" fillId="2" borderId="27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3" fillId="7" borderId="38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1" fillId="2" borderId="31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3" fillId="3" borderId="25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54" xfId="0" applyNumberFormat="1" applyFont="1" applyFill="1" applyBorder="1" applyAlignment="1">
      <alignment horizontal="center"/>
    </xf>
    <xf numFmtId="1" fontId="11" fillId="6" borderId="55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right"/>
    </xf>
    <xf numFmtId="0" fontId="13" fillId="3" borderId="33" xfId="0" applyFont="1" applyFill="1" applyBorder="1" applyAlignment="1" applyProtection="1">
      <alignment horizontal="center"/>
      <protection locked="0"/>
    </xf>
    <xf numFmtId="0" fontId="10" fillId="2" borderId="22" xfId="0" applyFont="1" applyFill="1" applyBorder="1" applyAlignment="1">
      <alignment horizontal="right"/>
    </xf>
    <xf numFmtId="2" fontId="10" fillId="6" borderId="3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34" xfId="0" applyNumberFormat="1" applyFont="1" applyFill="1" applyBorder="1" applyAlignment="1">
      <alignment horizontal="center"/>
    </xf>
    <xf numFmtId="166" fontId="10" fillId="6" borderId="34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3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6" xfId="0" applyFont="1" applyFill="1" applyBorder="1" applyAlignment="1">
      <alignment horizontal="right"/>
    </xf>
    <xf numFmtId="2" fontId="10" fillId="7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27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1" fontId="13" fillId="3" borderId="45" xfId="0" applyNumberFormat="1" applyFont="1" applyFill="1" applyBorder="1" applyAlignment="1" applyProtection="1">
      <alignment horizontal="center"/>
      <protection locked="0"/>
    </xf>
    <xf numFmtId="10" fontId="10" fillId="2" borderId="44" xfId="0" applyNumberFormat="1" applyFont="1" applyFill="1" applyBorder="1" applyAlignment="1">
      <alignment horizontal="center"/>
    </xf>
    <xf numFmtId="10" fontId="10" fillId="2" borderId="46" xfId="0" applyNumberFormat="1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1" fontId="13" fillId="3" borderId="48" xfId="0" applyNumberFormat="1" applyFont="1" applyFill="1" applyBorder="1" applyAlignment="1" applyProtection="1">
      <alignment horizontal="center"/>
      <protection locked="0"/>
    </xf>
    <xf numFmtId="10" fontId="10" fillId="2" borderId="4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3" fillId="7" borderId="34" xfId="0" applyNumberFormat="1" applyFont="1" applyFill="1" applyBorder="1" applyAlignment="1">
      <alignment horizontal="center"/>
    </xf>
    <xf numFmtId="0" fontId="10" fillId="2" borderId="21" xfId="0" applyFont="1" applyFill="1" applyBorder="1"/>
    <xf numFmtId="10" fontId="13" fillId="6" borderId="34" xfId="0" applyNumberFormat="1" applyFont="1" applyFill="1" applyBorder="1" applyAlignment="1">
      <alignment horizontal="center"/>
    </xf>
    <xf numFmtId="0" fontId="10" fillId="2" borderId="52" xfId="0" applyFont="1" applyFill="1" applyBorder="1"/>
    <xf numFmtId="0" fontId="10" fillId="2" borderId="29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35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3" fillId="6" borderId="37" xfId="0" applyNumberFormat="1" applyFont="1" applyFill="1" applyBorder="1" applyAlignment="1">
      <alignment horizontal="center"/>
    </xf>
    <xf numFmtId="166" fontId="10" fillId="2" borderId="41" xfId="0" applyNumberFormat="1" applyFont="1" applyFill="1" applyBorder="1" applyAlignment="1">
      <alignment horizontal="center"/>
    </xf>
    <xf numFmtId="166" fontId="10" fillId="2" borderId="45" xfId="0" applyNumberFormat="1" applyFont="1" applyFill="1" applyBorder="1" applyAlignment="1">
      <alignment horizontal="center"/>
    </xf>
    <xf numFmtId="166" fontId="10" fillId="2" borderId="48" xfId="0" applyNumberFormat="1" applyFont="1" applyFill="1" applyBorder="1" applyAlignment="1">
      <alignment horizontal="center"/>
    </xf>
    <xf numFmtId="2" fontId="13" fillId="7" borderId="47" xfId="0" applyNumberFormat="1" applyFont="1" applyFill="1" applyBorder="1" applyAlignment="1">
      <alignment horizontal="center"/>
    </xf>
    <xf numFmtId="2" fontId="13" fillId="7" borderId="34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23" fillId="2" borderId="0" xfId="1" applyFill="1"/>
    <xf numFmtId="0" fontId="10" fillId="2" borderId="0" xfId="1" applyFont="1" applyFill="1"/>
    <xf numFmtId="0" fontId="11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9" fontId="14" fillId="3" borderId="0" xfId="1" applyNumberFormat="1" applyFont="1" applyFill="1" applyAlignment="1" applyProtection="1">
      <alignment horizontal="center"/>
      <protection locked="0"/>
    </xf>
    <xf numFmtId="168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7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8" fillId="2" borderId="0" xfId="1" applyFont="1" applyFill="1"/>
    <xf numFmtId="0" fontId="19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20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35" xfId="1" applyFont="1" applyFill="1" applyBorder="1" applyAlignment="1">
      <alignment horizontal="right"/>
    </xf>
    <xf numFmtId="0" fontId="13" fillId="3" borderId="30" xfId="1" applyFont="1" applyFill="1" applyBorder="1" applyAlignment="1" applyProtection="1">
      <alignment horizontal="center"/>
      <protection locked="0"/>
    </xf>
    <xf numFmtId="0" fontId="10" fillId="2" borderId="21" xfId="1" applyFont="1" applyFill="1" applyBorder="1" applyAlignment="1">
      <alignment horizontal="right"/>
    </xf>
    <xf numFmtId="0" fontId="13" fillId="3" borderId="40" xfId="1" applyFont="1" applyFill="1" applyBorder="1" applyAlignment="1" applyProtection="1">
      <alignment horizontal="center"/>
      <protection locked="0"/>
    </xf>
    <xf numFmtId="0" fontId="11" fillId="2" borderId="30" xfId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1" fillId="2" borderId="12" xfId="1" applyFont="1" applyFill="1" applyBorder="1" applyAlignment="1">
      <alignment horizontal="center"/>
    </xf>
    <xf numFmtId="0" fontId="10" fillId="2" borderId="42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71" fontId="10" fillId="2" borderId="41" xfId="1" applyNumberFormat="1" applyFont="1" applyFill="1" applyBorder="1" applyAlignment="1">
      <alignment horizontal="center"/>
    </xf>
    <xf numFmtId="171" fontId="10" fillId="2" borderId="44" xfId="1" applyNumberFormat="1" applyFont="1" applyFill="1" applyBorder="1" applyAlignment="1">
      <alignment horizontal="center"/>
    </xf>
    <xf numFmtId="0" fontId="20" fillId="2" borderId="13" xfId="1" applyFont="1" applyFill="1" applyBorder="1"/>
    <xf numFmtId="0" fontId="10" fillId="2" borderId="40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71" fontId="10" fillId="2" borderId="45" xfId="1" applyNumberFormat="1" applyFont="1" applyFill="1" applyBorder="1" applyAlignment="1">
      <alignment horizontal="center"/>
    </xf>
    <xf numFmtId="171" fontId="10" fillId="2" borderId="46" xfId="1" applyNumberFormat="1" applyFont="1" applyFill="1" applyBorder="1" applyAlignment="1">
      <alignment horizontal="center"/>
    </xf>
    <xf numFmtId="0" fontId="10" fillId="2" borderId="47" xfId="1" applyFont="1" applyFill="1" applyBorder="1" applyAlignment="1">
      <alignment horizontal="center"/>
    </xf>
    <xf numFmtId="0" fontId="13" fillId="3" borderId="25" xfId="1" applyFont="1" applyFill="1" applyBorder="1" applyAlignment="1" applyProtection="1">
      <alignment horizontal="center"/>
      <protection locked="0"/>
    </xf>
    <xf numFmtId="171" fontId="10" fillId="2" borderId="48" xfId="1" applyNumberFormat="1" applyFont="1" applyFill="1" applyBorder="1" applyAlignment="1">
      <alignment horizontal="center"/>
    </xf>
    <xf numFmtId="171" fontId="10" fillId="2" borderId="49" xfId="1" applyNumberFormat="1" applyFont="1" applyFill="1" applyBorder="1" applyAlignment="1">
      <alignment horizontal="center"/>
    </xf>
    <xf numFmtId="0" fontId="10" fillId="2" borderId="15" xfId="1" applyFont="1" applyFill="1" applyBorder="1"/>
    <xf numFmtId="0" fontId="10" fillId="2" borderId="40" xfId="1" applyFont="1" applyFill="1" applyBorder="1" applyAlignment="1">
      <alignment horizontal="right"/>
    </xf>
    <xf numFmtId="1" fontId="11" fillId="6" borderId="23" xfId="1" applyNumberFormat="1" applyFont="1" applyFill="1" applyBorder="1" applyAlignment="1">
      <alignment horizontal="center"/>
    </xf>
    <xf numFmtId="171" fontId="11" fillId="6" borderId="50" xfId="1" applyNumberFormat="1" applyFont="1" applyFill="1" applyBorder="1" applyAlignment="1">
      <alignment horizontal="center"/>
    </xf>
    <xf numFmtId="171" fontId="11" fillId="6" borderId="51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28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27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27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6" borderId="27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6" borderId="17" xfId="1" applyNumberFormat="1" applyFont="1" applyFill="1" applyBorder="1" applyAlignment="1">
      <alignment horizontal="center"/>
    </xf>
    <xf numFmtId="0" fontId="10" fillId="2" borderId="26" xfId="1" applyFont="1" applyFill="1" applyBorder="1" applyAlignment="1">
      <alignment horizontal="right"/>
    </xf>
    <xf numFmtId="166" fontId="13" fillId="3" borderId="27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43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2" fontId="10" fillId="6" borderId="15" xfId="1" applyNumberFormat="1" applyFont="1" applyFill="1" applyBorder="1" applyAlignment="1">
      <alignment horizontal="center"/>
    </xf>
    <xf numFmtId="171" fontId="11" fillId="7" borderId="13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6" borderId="27" xfId="1" applyNumberFormat="1" applyFont="1" applyFill="1" applyBorder="1" applyAlignment="1">
      <alignment horizontal="center"/>
    </xf>
    <xf numFmtId="0" fontId="10" fillId="2" borderId="52" xfId="1" applyFont="1" applyFill="1" applyBorder="1" applyAlignment="1">
      <alignment horizontal="right"/>
    </xf>
    <xf numFmtId="0" fontId="10" fillId="7" borderId="15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/>
      <protection locked="0"/>
    </xf>
    <xf numFmtId="166" fontId="10" fillId="2" borderId="35" xfId="1" applyNumberFormat="1" applyFont="1" applyFill="1" applyBorder="1" applyAlignment="1">
      <alignment horizontal="center"/>
    </xf>
    <xf numFmtId="10" fontId="10" fillId="2" borderId="13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166" fontId="10" fillId="2" borderId="21" xfId="1" applyNumberFormat="1" applyFont="1" applyFill="1" applyBorder="1" applyAlignment="1">
      <alignment horizontal="center"/>
    </xf>
    <xf numFmtId="1" fontId="13" fillId="3" borderId="21" xfId="1" applyNumberFormat="1" applyFont="1" applyFill="1" applyBorder="1" applyAlignment="1" applyProtection="1">
      <alignment horizontal="center"/>
      <protection locked="0"/>
    </xf>
    <xf numFmtId="0" fontId="10" fillId="2" borderId="15" xfId="1" applyFont="1" applyFill="1" applyBorder="1" applyAlignment="1">
      <alignment horizontal="center"/>
    </xf>
    <xf numFmtId="0" fontId="13" fillId="3" borderId="52" xfId="1" applyFont="1" applyFill="1" applyBorder="1" applyAlignment="1" applyProtection="1">
      <alignment horizontal="center"/>
      <protection locked="0"/>
    </xf>
    <xf numFmtId="166" fontId="10" fillId="2" borderId="13" xfId="1" applyNumberFormat="1" applyFont="1" applyFill="1" applyBorder="1" applyAlignment="1">
      <alignment horizontal="center"/>
    </xf>
    <xf numFmtId="166" fontId="10" fillId="2" borderId="14" xfId="1" applyNumberFormat="1" applyFont="1" applyFill="1" applyBorder="1" applyAlignment="1">
      <alignment horizontal="center"/>
    </xf>
    <xf numFmtId="166" fontId="10" fillId="2" borderId="15" xfId="1" applyNumberFormat="1" applyFont="1" applyFill="1" applyBorder="1" applyAlignment="1">
      <alignment horizontal="center"/>
    </xf>
    <xf numFmtId="0" fontId="14" fillId="2" borderId="40" xfId="1" applyFont="1" applyFill="1" applyBorder="1" applyAlignment="1">
      <alignment horizontal="center"/>
    </xf>
    <xf numFmtId="2" fontId="14" fillId="2" borderId="39" xfId="1" applyNumberFormat="1" applyFont="1" applyFill="1" applyBorder="1" applyAlignment="1">
      <alignment horizontal="center"/>
    </xf>
    <xf numFmtId="10" fontId="10" fillId="2" borderId="15" xfId="1" applyNumberFormat="1" applyFont="1" applyFill="1" applyBorder="1" applyAlignment="1">
      <alignment horizontal="center" vertical="center"/>
    </xf>
    <xf numFmtId="0" fontId="10" fillId="2" borderId="32" xfId="1" applyFont="1" applyFill="1" applyBorder="1" applyAlignment="1">
      <alignment horizontal="right"/>
    </xf>
    <xf numFmtId="2" fontId="13" fillId="7" borderId="47" xfId="1" applyNumberFormat="1" applyFont="1" applyFill="1" applyBorder="1" applyAlignment="1">
      <alignment horizontal="center"/>
    </xf>
    <xf numFmtId="10" fontId="13" fillId="7" borderId="47" xfId="1" applyNumberFormat="1" applyFont="1" applyFill="1" applyBorder="1" applyAlignment="1">
      <alignment horizontal="center"/>
    </xf>
    <xf numFmtId="0" fontId="10" fillId="2" borderId="27" xfId="1" applyFont="1" applyFill="1" applyBorder="1" applyAlignment="1">
      <alignment horizontal="right"/>
    </xf>
    <xf numFmtId="10" fontId="13" fillId="6" borderId="37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0" fontId="13" fillId="7" borderId="38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44" xfId="1" applyFont="1" applyFill="1" applyBorder="1" applyAlignment="1">
      <alignment horizontal="center"/>
    </xf>
    <xf numFmtId="0" fontId="10" fillId="2" borderId="53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171" fontId="13" fillId="3" borderId="25" xfId="1" applyNumberFormat="1" applyFont="1" applyFill="1" applyBorder="1" applyAlignment="1" applyProtection="1">
      <alignment horizontal="center"/>
      <protection locked="0"/>
    </xf>
    <xf numFmtId="1" fontId="11" fillId="6" borderId="54" xfId="1" applyNumberFormat="1" applyFont="1" applyFill="1" applyBorder="1" applyAlignment="1">
      <alignment horizontal="center"/>
    </xf>
    <xf numFmtId="1" fontId="11" fillId="6" borderId="55" xfId="1" applyNumberFormat="1" applyFont="1" applyFill="1" applyBorder="1" applyAlignment="1">
      <alignment horizontal="center"/>
    </xf>
    <xf numFmtId="171" fontId="11" fillId="6" borderId="15" xfId="1" applyNumberFormat="1" applyFont="1" applyFill="1" applyBorder="1" applyAlignment="1">
      <alignment horizontal="center"/>
    </xf>
    <xf numFmtId="0" fontId="10" fillId="2" borderId="24" xfId="1" applyFont="1" applyFill="1" applyBorder="1" applyAlignment="1">
      <alignment horizontal="right"/>
    </xf>
    <xf numFmtId="0" fontId="13" fillId="3" borderId="33" xfId="1" applyFont="1" applyFill="1" applyBorder="1" applyAlignment="1" applyProtection="1">
      <alignment horizontal="center"/>
      <protection locked="0"/>
    </xf>
    <xf numFmtId="0" fontId="10" fillId="2" borderId="22" xfId="1" applyFont="1" applyFill="1" applyBorder="1" applyAlignment="1">
      <alignment horizontal="right"/>
    </xf>
    <xf numFmtId="2" fontId="10" fillId="6" borderId="34" xfId="1" applyNumberFormat="1" applyFont="1" applyFill="1" applyBorder="1" applyAlignment="1">
      <alignment horizontal="center"/>
    </xf>
    <xf numFmtId="2" fontId="10" fillId="7" borderId="34" xfId="1" applyNumberFormat="1" applyFont="1" applyFill="1" applyBorder="1" applyAlignment="1">
      <alignment horizontal="center"/>
    </xf>
    <xf numFmtId="166" fontId="10" fillId="6" borderId="34" xfId="1" applyNumberFormat="1" applyFont="1" applyFill="1" applyBorder="1" applyAlignment="1">
      <alignment horizontal="center"/>
    </xf>
    <xf numFmtId="166" fontId="10" fillId="7" borderId="34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56" xfId="1" applyFont="1" applyFill="1" applyBorder="1" applyAlignment="1">
      <alignment horizontal="right"/>
    </xf>
    <xf numFmtId="2" fontId="10" fillId="7" borderId="44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6" xfId="1" applyFont="1" applyFill="1" applyBorder="1" applyAlignment="1">
      <alignment horizontal="right"/>
    </xf>
    <xf numFmtId="171" fontId="11" fillId="7" borderId="16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6" borderId="27" xfId="1" applyNumberFormat="1" applyFont="1" applyFill="1" applyBorder="1" applyAlignment="1">
      <alignment horizontal="center"/>
    </xf>
    <xf numFmtId="0" fontId="11" fillId="7" borderId="17" xfId="1" applyFont="1" applyFill="1" applyBorder="1" applyAlignment="1">
      <alignment horizontal="center"/>
    </xf>
    <xf numFmtId="0" fontId="11" fillId="2" borderId="57" xfId="1" applyFont="1" applyFill="1" applyBorder="1" applyAlignment="1">
      <alignment horizontal="center"/>
    </xf>
    <xf numFmtId="0" fontId="11" fillId="2" borderId="58" xfId="1" applyFont="1" applyFill="1" applyBorder="1" applyAlignment="1">
      <alignment horizontal="center"/>
    </xf>
    <xf numFmtId="0" fontId="11" fillId="2" borderId="30" xfId="1" applyFont="1" applyFill="1" applyBorder="1" applyAlignment="1">
      <alignment horizontal="center" wrapText="1"/>
    </xf>
    <xf numFmtId="0" fontId="10" fillId="2" borderId="21" xfId="1" applyFont="1" applyFill="1" applyBorder="1" applyAlignment="1">
      <alignment horizontal="center"/>
    </xf>
    <xf numFmtId="1" fontId="13" fillId="3" borderId="45" xfId="1" applyNumberFormat="1" applyFont="1" applyFill="1" applyBorder="1" applyAlignment="1" applyProtection="1">
      <alignment horizontal="center"/>
      <protection locked="0"/>
    </xf>
    <xf numFmtId="166" fontId="10" fillId="2" borderId="41" xfId="1" applyNumberFormat="1" applyFont="1" applyFill="1" applyBorder="1" applyAlignment="1">
      <alignment horizontal="center"/>
    </xf>
    <xf numFmtId="10" fontId="10" fillId="2" borderId="44" xfId="1" applyNumberFormat="1" applyFont="1" applyFill="1" applyBorder="1" applyAlignment="1">
      <alignment horizontal="center"/>
    </xf>
    <xf numFmtId="166" fontId="10" fillId="2" borderId="45" xfId="1" applyNumberFormat="1" applyFont="1" applyFill="1" applyBorder="1" applyAlignment="1">
      <alignment horizontal="center"/>
    </xf>
    <xf numFmtId="10" fontId="10" fillId="2" borderId="46" xfId="1" applyNumberFormat="1" applyFont="1" applyFill="1" applyBorder="1" applyAlignment="1">
      <alignment horizontal="center"/>
    </xf>
    <xf numFmtId="0" fontId="10" fillId="2" borderId="25" xfId="1" applyFont="1" applyFill="1" applyBorder="1" applyAlignment="1">
      <alignment horizontal="center"/>
    </xf>
    <xf numFmtId="1" fontId="13" fillId="3" borderId="48" xfId="1" applyNumberFormat="1" applyFont="1" applyFill="1" applyBorder="1" applyAlignment="1" applyProtection="1">
      <alignment horizontal="center"/>
      <protection locked="0"/>
    </xf>
    <xf numFmtId="166" fontId="10" fillId="2" borderId="48" xfId="1" applyNumberFormat="1" applyFont="1" applyFill="1" applyBorder="1" applyAlignment="1">
      <alignment horizontal="center"/>
    </xf>
    <xf numFmtId="10" fontId="10" fillId="2" borderId="49" xfId="1" applyNumberFormat="1" applyFont="1" applyFill="1" applyBorder="1" applyAlignment="1">
      <alignment horizontal="center"/>
    </xf>
    <xf numFmtId="2" fontId="10" fillId="2" borderId="40" xfId="1" applyNumberFormat="1" applyFont="1" applyFill="1" applyBorder="1" applyAlignment="1">
      <alignment horizontal="center"/>
    </xf>
    <xf numFmtId="171" fontId="10" fillId="2" borderId="2" xfId="1" applyNumberFormat="1" applyFont="1" applyFill="1" applyBorder="1" applyAlignment="1">
      <alignment horizontal="right"/>
    </xf>
    <xf numFmtId="2" fontId="13" fillId="7" borderId="34" xfId="1" applyNumberFormat="1" applyFont="1" applyFill="1" applyBorder="1" applyAlignment="1">
      <alignment horizontal="center"/>
    </xf>
    <xf numFmtId="10" fontId="13" fillId="7" borderId="34" xfId="1" applyNumberFormat="1" applyFont="1" applyFill="1" applyBorder="1" applyAlignment="1">
      <alignment horizontal="center"/>
    </xf>
    <xf numFmtId="0" fontId="10" fillId="2" borderId="21" xfId="1" applyFont="1" applyFill="1" applyBorder="1"/>
    <xf numFmtId="10" fontId="13" fillId="6" borderId="34" xfId="1" applyNumberFormat="1" applyFont="1" applyFill="1" applyBorder="1" applyAlignment="1">
      <alignment horizontal="center"/>
    </xf>
    <xf numFmtId="0" fontId="10" fillId="2" borderId="52" xfId="1" applyFont="1" applyFill="1" applyBorder="1"/>
    <xf numFmtId="0" fontId="10" fillId="2" borderId="29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2" fillId="2" borderId="0" xfId="1" applyFont="1" applyFill="1" applyAlignment="1">
      <alignment horizontal="right" vertical="center" wrapText="1"/>
    </xf>
    <xf numFmtId="0" fontId="12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/>
    <xf numFmtId="0" fontId="11" fillId="2" borderId="11" xfId="1" applyFont="1" applyFill="1" applyBorder="1"/>
    <xf numFmtId="0" fontId="10" fillId="2" borderId="11" xfId="1" applyFont="1" applyFill="1" applyBorder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35" xfId="0" applyFont="1" applyFill="1" applyBorder="1" applyAlignment="1">
      <alignment horizontal="left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1" fillId="2" borderId="31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10" fontId="17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1" fillId="2" borderId="2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18" xfId="1" applyFont="1" applyFill="1" applyBorder="1" applyAlignment="1">
      <alignment horizontal="left" vertical="center" wrapText="1"/>
    </xf>
    <xf numFmtId="0" fontId="12" fillId="2" borderId="19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left" vertical="center" wrapText="1"/>
    </xf>
    <xf numFmtId="0" fontId="16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2" fillId="2" borderId="18" xfId="1" applyFont="1" applyFill="1" applyBorder="1" applyAlignment="1">
      <alignment horizontal="center"/>
    </xf>
    <xf numFmtId="0" fontId="12" fillId="2" borderId="19" xfId="1" applyFont="1" applyFill="1" applyBorder="1" applyAlignment="1">
      <alignment horizontal="center"/>
    </xf>
    <xf numFmtId="0" fontId="12" fillId="2" borderId="2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2" fillId="2" borderId="18" xfId="1" applyFont="1" applyFill="1" applyBorder="1" applyAlignment="1">
      <alignment horizontal="justify" vertical="center" wrapText="1"/>
    </xf>
    <xf numFmtId="0" fontId="12" fillId="2" borderId="19" xfId="1" applyFont="1" applyFill="1" applyBorder="1" applyAlignment="1">
      <alignment horizontal="justify" vertical="center" wrapText="1"/>
    </xf>
    <xf numFmtId="0" fontId="12" fillId="2" borderId="20" xfId="1" applyFont="1" applyFill="1" applyBorder="1" applyAlignment="1">
      <alignment horizontal="justify" vertical="center" wrapText="1"/>
    </xf>
    <xf numFmtId="0" fontId="11" fillId="2" borderId="31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1" fillId="2" borderId="36" xfId="1" applyFont="1" applyFill="1" applyBorder="1" applyAlignment="1">
      <alignment horizontal="center"/>
    </xf>
    <xf numFmtId="10" fontId="17" fillId="2" borderId="14" xfId="1" applyNumberFormat="1" applyFont="1" applyFill="1" applyBorder="1" applyAlignment="1">
      <alignment horizontal="center" vertical="center"/>
    </xf>
    <xf numFmtId="0" fontId="12" fillId="2" borderId="35" xfId="1" applyFont="1" applyFill="1" applyBorder="1" applyAlignment="1">
      <alignment horizontal="left" vertical="center" wrapText="1"/>
    </xf>
    <xf numFmtId="0" fontId="12" fillId="2" borderId="30" xfId="1" applyFont="1" applyFill="1" applyBorder="1" applyAlignment="1">
      <alignment horizontal="left" vertical="center" wrapText="1"/>
    </xf>
    <xf numFmtId="0" fontId="12" fillId="2" borderId="52" xfId="1" applyFont="1" applyFill="1" applyBorder="1" applyAlignment="1">
      <alignment horizontal="left" vertical="center" wrapText="1"/>
    </xf>
    <xf numFmtId="0" fontId="12" fillId="2" borderId="39" xfId="1" applyFont="1" applyFill="1" applyBorder="1" applyAlignment="1">
      <alignment horizontal="left" vertical="center" wrapText="1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52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35" xfId="1" applyFont="1" applyFill="1" applyBorder="1" applyAlignment="1">
      <alignment horizontal="center" vertical="center" wrapText="1"/>
    </xf>
    <xf numFmtId="0" fontId="12" fillId="2" borderId="30" xfId="1" applyFont="1" applyFill="1" applyBorder="1" applyAlignment="1">
      <alignment horizontal="center" vertical="center" wrapText="1"/>
    </xf>
    <xf numFmtId="0" fontId="12" fillId="2" borderId="52" xfId="1" applyFont="1" applyFill="1" applyBorder="1" applyAlignment="1">
      <alignment horizontal="center" vertical="center" wrapText="1"/>
    </xf>
    <xf numFmtId="0" fontId="12" fillId="2" borderId="39" xfId="1" applyFont="1" applyFill="1" applyBorder="1" applyAlignment="1">
      <alignment horizontal="center" vertical="center" wrapText="1"/>
    </xf>
    <xf numFmtId="0" fontId="11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left" vertical="center" wrapText="1"/>
    </xf>
    <xf numFmtId="0" fontId="12" fillId="2" borderId="9" xfId="1" applyFont="1" applyFill="1" applyBorder="1" applyAlignment="1">
      <alignment horizontal="left" vertical="center" wrapText="1"/>
    </xf>
    <xf numFmtId="0" fontId="11" fillId="2" borderId="10" xfId="1" applyFont="1" applyFill="1" applyBorder="1" applyAlignment="1">
      <alignment horizontal="center"/>
    </xf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7" fillId="2" borderId="0" xfId="2" applyFont="1" applyFill="1" applyAlignment="1">
      <alignment horizontal="center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4" fillId="2" borderId="0" xfId="2" applyFill="1"/>
    <xf numFmtId="0" fontId="25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14" sqref="A14:G61"/>
    </sheetView>
  </sheetViews>
  <sheetFormatPr defaultRowHeight="13.5" x14ac:dyDescent="0.25"/>
  <cols>
    <col min="1" max="1" width="27.5703125" style="482" customWidth="1"/>
    <col min="2" max="2" width="20.42578125" style="482" customWidth="1"/>
    <col min="3" max="3" width="31.85546875" style="482" customWidth="1"/>
    <col min="4" max="4" width="25.85546875" style="482" customWidth="1"/>
    <col min="5" max="5" width="25.7109375" style="482" customWidth="1"/>
    <col min="6" max="6" width="23.140625" style="482" customWidth="1"/>
    <col min="7" max="7" width="28.42578125" style="482" customWidth="1"/>
    <col min="8" max="8" width="21.5703125" style="482" customWidth="1"/>
    <col min="9" max="9" width="9.140625" style="482" customWidth="1"/>
    <col min="10" max="16384" width="9.140625" style="519"/>
  </cols>
  <sheetData>
    <row r="14" spans="1:6" ht="15" customHeight="1" x14ac:dyDescent="0.3">
      <c r="A14" s="481"/>
      <c r="C14" s="483"/>
      <c r="F14" s="483"/>
    </row>
    <row r="15" spans="1:6" ht="18.75" customHeight="1" x14ac:dyDescent="0.3">
      <c r="A15" s="484" t="s">
        <v>0</v>
      </c>
      <c r="B15" s="484"/>
      <c r="C15" s="484"/>
      <c r="D15" s="484"/>
      <c r="E15" s="484"/>
    </row>
    <row r="16" spans="1:6" ht="16.5" customHeight="1" x14ac:dyDescent="0.3">
      <c r="A16" s="485" t="s">
        <v>1</v>
      </c>
      <c r="B16" s="486" t="s">
        <v>2</v>
      </c>
    </row>
    <row r="17" spans="1:5" ht="16.5" customHeight="1" x14ac:dyDescent="0.3">
      <c r="A17" s="487" t="s">
        <v>3</v>
      </c>
      <c r="B17" s="487" t="str">
        <f>'amoxicillin Trihydrate'!B18:C18</f>
        <v>Aivclav-1000 Tablets</v>
      </c>
      <c r="D17" s="488"/>
      <c r="E17" s="489"/>
    </row>
    <row r="18" spans="1:5" ht="16.5" customHeight="1" x14ac:dyDescent="0.3">
      <c r="A18" s="490" t="s">
        <v>4</v>
      </c>
      <c r="B18" s="487" t="s">
        <v>129</v>
      </c>
      <c r="C18" s="489"/>
      <c r="D18" s="489"/>
      <c r="E18" s="489"/>
    </row>
    <row r="19" spans="1:5" ht="16.5" customHeight="1" x14ac:dyDescent="0.3">
      <c r="A19" s="490" t="s">
        <v>6</v>
      </c>
      <c r="B19" s="491">
        <v>96.4</v>
      </c>
      <c r="C19" s="489"/>
      <c r="D19" s="489"/>
      <c r="E19" s="489"/>
    </row>
    <row r="20" spans="1:5" ht="16.5" customHeight="1" x14ac:dyDescent="0.3">
      <c r="A20" s="487" t="s">
        <v>8</v>
      </c>
      <c r="B20" s="491">
        <v>20.329999999999998</v>
      </c>
      <c r="C20" s="489"/>
      <c r="D20" s="489"/>
      <c r="E20" s="489"/>
    </row>
    <row r="21" spans="1:5" ht="16.5" customHeight="1" x14ac:dyDescent="0.3">
      <c r="A21" s="487" t="s">
        <v>10</v>
      </c>
      <c r="B21" s="492">
        <v>0.125</v>
      </c>
      <c r="C21" s="489"/>
      <c r="D21" s="489"/>
      <c r="E21" s="489"/>
    </row>
    <row r="22" spans="1:5" ht="15.75" customHeight="1" x14ac:dyDescent="0.25">
      <c r="A22" s="489"/>
      <c r="B22" s="489"/>
      <c r="C22" s="489"/>
      <c r="D22" s="489"/>
      <c r="E22" s="489"/>
    </row>
    <row r="23" spans="1:5" ht="16.5" customHeight="1" x14ac:dyDescent="0.3">
      <c r="A23" s="493" t="s">
        <v>13</v>
      </c>
      <c r="B23" s="494" t="s">
        <v>14</v>
      </c>
      <c r="C23" s="493" t="s">
        <v>15</v>
      </c>
      <c r="D23" s="493" t="s">
        <v>16</v>
      </c>
      <c r="E23" s="493" t="s">
        <v>17</v>
      </c>
    </row>
    <row r="24" spans="1:5" ht="16.5" customHeight="1" x14ac:dyDescent="0.3">
      <c r="A24" s="495">
        <v>1</v>
      </c>
      <c r="B24" s="496">
        <v>34907913</v>
      </c>
      <c r="C24" s="496">
        <v>9632.5</v>
      </c>
      <c r="D24" s="497">
        <v>1.2</v>
      </c>
      <c r="E24" s="498">
        <v>3.5</v>
      </c>
    </row>
    <row r="25" spans="1:5" ht="16.5" customHeight="1" x14ac:dyDescent="0.3">
      <c r="A25" s="495">
        <v>2</v>
      </c>
      <c r="B25" s="496">
        <v>34927221</v>
      </c>
      <c r="C25" s="496">
        <v>9582.6</v>
      </c>
      <c r="D25" s="497">
        <v>1.2</v>
      </c>
      <c r="E25" s="497">
        <v>3.5</v>
      </c>
    </row>
    <row r="26" spans="1:5" ht="16.5" customHeight="1" x14ac:dyDescent="0.3">
      <c r="A26" s="495">
        <v>3</v>
      </c>
      <c r="B26" s="496">
        <v>34985237</v>
      </c>
      <c r="C26" s="496">
        <v>9598.7000000000007</v>
      </c>
      <c r="D26" s="497">
        <v>1.2</v>
      </c>
      <c r="E26" s="497">
        <v>3.5</v>
      </c>
    </row>
    <row r="27" spans="1:5" ht="16.5" customHeight="1" x14ac:dyDescent="0.3">
      <c r="A27" s="495">
        <v>4</v>
      </c>
      <c r="B27" s="496">
        <v>34854448</v>
      </c>
      <c r="C27" s="496">
        <v>9686</v>
      </c>
      <c r="D27" s="497">
        <v>1.2</v>
      </c>
      <c r="E27" s="497">
        <v>3.5</v>
      </c>
    </row>
    <row r="28" spans="1:5" ht="16.5" customHeight="1" x14ac:dyDescent="0.3">
      <c r="A28" s="495">
        <v>5</v>
      </c>
      <c r="B28" s="496">
        <v>34962704</v>
      </c>
      <c r="C28" s="496">
        <v>9720.7000000000007</v>
      </c>
      <c r="D28" s="497">
        <v>1.2</v>
      </c>
      <c r="E28" s="497">
        <v>3.5</v>
      </c>
    </row>
    <row r="29" spans="1:5" ht="16.5" customHeight="1" x14ac:dyDescent="0.3">
      <c r="A29" s="495">
        <v>6</v>
      </c>
      <c r="B29" s="499">
        <v>34859720</v>
      </c>
      <c r="C29" s="499">
        <v>9874</v>
      </c>
      <c r="D29" s="500">
        <v>1.2</v>
      </c>
      <c r="E29" s="500">
        <v>3.5</v>
      </c>
    </row>
    <row r="30" spans="1:5" ht="16.5" customHeight="1" x14ac:dyDescent="0.3">
      <c r="A30" s="501" t="s">
        <v>18</v>
      </c>
      <c r="B30" s="502">
        <f>AVERAGE(B24:B29)</f>
        <v>34916207.166666664</v>
      </c>
      <c r="C30" s="503">
        <f>AVERAGE(C24:C29)</f>
        <v>9682.4166666666661</v>
      </c>
      <c r="D30" s="504">
        <f>AVERAGE(D24:D29)</f>
        <v>1.2</v>
      </c>
      <c r="E30" s="504">
        <f>AVERAGE(E24:E29)</f>
        <v>3.5</v>
      </c>
    </row>
    <row r="31" spans="1:5" ht="16.5" customHeight="1" x14ac:dyDescent="0.3">
      <c r="A31" s="505" t="s">
        <v>19</v>
      </c>
      <c r="B31" s="506">
        <f>(STDEV(B24:B29)/B30)</f>
        <v>1.5220838890965377E-3</v>
      </c>
      <c r="C31" s="507"/>
      <c r="D31" s="507"/>
      <c r="E31" s="508"/>
    </row>
    <row r="32" spans="1:5" s="482" customFormat="1" ht="16.5" customHeight="1" x14ac:dyDescent="0.3">
      <c r="A32" s="509" t="s">
        <v>20</v>
      </c>
      <c r="B32" s="510">
        <f>COUNT(B24:B29)</f>
        <v>6</v>
      </c>
      <c r="C32" s="511"/>
      <c r="D32" s="512"/>
      <c r="E32" s="513"/>
    </row>
    <row r="33" spans="1:5" s="482" customFormat="1" ht="15.75" customHeight="1" x14ac:dyDescent="0.25">
      <c r="A33" s="489"/>
      <c r="B33" s="489"/>
      <c r="C33" s="489"/>
      <c r="D33" s="489"/>
      <c r="E33" s="489"/>
    </row>
    <row r="34" spans="1:5" s="482" customFormat="1" ht="16.5" customHeight="1" x14ac:dyDescent="0.3">
      <c r="A34" s="490" t="s">
        <v>21</v>
      </c>
      <c r="B34" s="514" t="s">
        <v>126</v>
      </c>
      <c r="C34" s="515"/>
      <c r="D34" s="515"/>
      <c r="E34" s="515"/>
    </row>
    <row r="35" spans="1:5" ht="16.5" customHeight="1" x14ac:dyDescent="0.3">
      <c r="A35" s="490"/>
      <c r="B35" s="514" t="s">
        <v>127</v>
      </c>
      <c r="C35" s="515"/>
      <c r="D35" s="515"/>
      <c r="E35" s="515"/>
    </row>
    <row r="36" spans="1:5" ht="16.5" customHeight="1" x14ac:dyDescent="0.3">
      <c r="A36" s="490"/>
      <c r="B36" s="514" t="s">
        <v>128</v>
      </c>
      <c r="C36" s="515"/>
      <c r="D36" s="515"/>
      <c r="E36" s="515"/>
    </row>
    <row r="37" spans="1:5" ht="15.75" customHeight="1" x14ac:dyDescent="0.25">
      <c r="A37" s="489"/>
      <c r="B37" s="489"/>
      <c r="C37" s="489"/>
      <c r="D37" s="489"/>
      <c r="E37" s="489"/>
    </row>
    <row r="38" spans="1:5" ht="16.5" customHeight="1" x14ac:dyDescent="0.3">
      <c r="A38" s="485" t="s">
        <v>1</v>
      </c>
      <c r="B38" s="486" t="s">
        <v>22</v>
      </c>
    </row>
    <row r="39" spans="1:5" ht="16.5" customHeight="1" x14ac:dyDescent="0.3">
      <c r="A39" s="490" t="s">
        <v>4</v>
      </c>
      <c r="B39" s="487" t="s">
        <v>129</v>
      </c>
      <c r="C39" s="489"/>
      <c r="D39" s="489"/>
      <c r="E39" s="489"/>
    </row>
    <row r="40" spans="1:5" ht="16.5" customHeight="1" x14ac:dyDescent="0.3">
      <c r="A40" s="490" t="s">
        <v>6</v>
      </c>
      <c r="B40" s="491">
        <v>96.4</v>
      </c>
      <c r="C40" s="489"/>
      <c r="D40" s="489"/>
      <c r="E40" s="489"/>
    </row>
    <row r="41" spans="1:5" ht="16.5" customHeight="1" x14ac:dyDescent="0.3">
      <c r="A41" s="487" t="s">
        <v>8</v>
      </c>
      <c r="B41" s="491">
        <v>21.53</v>
      </c>
      <c r="C41" s="489"/>
      <c r="D41" s="489"/>
      <c r="E41" s="489"/>
    </row>
    <row r="42" spans="1:5" ht="16.5" customHeight="1" x14ac:dyDescent="0.3">
      <c r="A42" s="487" t="s">
        <v>10</v>
      </c>
      <c r="B42" s="492">
        <v>0.125</v>
      </c>
      <c r="C42" s="489"/>
      <c r="D42" s="489"/>
      <c r="E42" s="489"/>
    </row>
    <row r="43" spans="1:5" ht="15.75" customHeight="1" x14ac:dyDescent="0.25">
      <c r="A43" s="489"/>
      <c r="B43" s="489"/>
      <c r="C43" s="489"/>
      <c r="D43" s="489"/>
      <c r="E43" s="489"/>
    </row>
    <row r="44" spans="1:5" ht="16.5" customHeight="1" x14ac:dyDescent="0.3">
      <c r="A44" s="493" t="s">
        <v>13</v>
      </c>
      <c r="B44" s="494" t="s">
        <v>14</v>
      </c>
      <c r="C44" s="493" t="s">
        <v>15</v>
      </c>
      <c r="D44" s="493" t="s">
        <v>16</v>
      </c>
      <c r="E44" s="493" t="s">
        <v>17</v>
      </c>
    </row>
    <row r="45" spans="1:5" ht="16.5" customHeight="1" x14ac:dyDescent="0.3">
      <c r="A45" s="495">
        <v>1</v>
      </c>
      <c r="B45" s="496">
        <v>39331054</v>
      </c>
      <c r="C45" s="496">
        <v>11990.74</v>
      </c>
      <c r="D45" s="497">
        <v>1.19</v>
      </c>
      <c r="E45" s="498">
        <v>5.04</v>
      </c>
    </row>
    <row r="46" spans="1:5" ht="16.5" customHeight="1" x14ac:dyDescent="0.3">
      <c r="A46" s="495">
        <v>2</v>
      </c>
      <c r="B46" s="496">
        <v>39187212</v>
      </c>
      <c r="C46" s="496">
        <v>11852.69</v>
      </c>
      <c r="D46" s="497">
        <v>1.18</v>
      </c>
      <c r="E46" s="497">
        <v>5.07</v>
      </c>
    </row>
    <row r="47" spans="1:5" ht="16.5" customHeight="1" x14ac:dyDescent="0.3">
      <c r="A47" s="495">
        <v>3</v>
      </c>
      <c r="B47" s="496">
        <v>39165231</v>
      </c>
      <c r="C47" s="496">
        <v>11798.91</v>
      </c>
      <c r="D47" s="497">
        <v>1.17</v>
      </c>
      <c r="E47" s="497">
        <v>5.09</v>
      </c>
    </row>
    <row r="48" spans="1:5" ht="16.5" customHeight="1" x14ac:dyDescent="0.3">
      <c r="A48" s="495">
        <v>4</v>
      </c>
      <c r="B48" s="496">
        <v>39221936</v>
      </c>
      <c r="C48" s="496">
        <v>11883.45</v>
      </c>
      <c r="D48" s="497">
        <v>1.18</v>
      </c>
      <c r="E48" s="497">
        <v>5.09</v>
      </c>
    </row>
    <row r="49" spans="1:7" ht="16.5" customHeight="1" x14ac:dyDescent="0.3">
      <c r="A49" s="495">
        <v>5</v>
      </c>
      <c r="B49" s="496">
        <v>38952159</v>
      </c>
      <c r="C49" s="496">
        <v>11907.67</v>
      </c>
      <c r="D49" s="497">
        <v>1.19</v>
      </c>
      <c r="E49" s="497">
        <v>5.0999999999999996</v>
      </c>
    </row>
    <row r="50" spans="1:7" ht="16.5" customHeight="1" x14ac:dyDescent="0.3">
      <c r="A50" s="495">
        <v>6</v>
      </c>
      <c r="B50" s="499">
        <v>38985268</v>
      </c>
      <c r="C50" s="499">
        <v>11824.08</v>
      </c>
      <c r="D50" s="500">
        <v>1.1399999999999999</v>
      </c>
      <c r="E50" s="500">
        <v>5.1100000000000003</v>
      </c>
    </row>
    <row r="51" spans="1:7" ht="16.5" customHeight="1" x14ac:dyDescent="0.3">
      <c r="A51" s="501" t="s">
        <v>18</v>
      </c>
      <c r="B51" s="502">
        <f>AVERAGE(B45:B50)</f>
        <v>39140476.666666664</v>
      </c>
      <c r="C51" s="503">
        <f>AVERAGE(C45:C50)</f>
        <v>11876.256666666666</v>
      </c>
      <c r="D51" s="504">
        <f>AVERAGE(D45:D50)</f>
        <v>1.175</v>
      </c>
      <c r="E51" s="504">
        <f>AVERAGE(E45:E50)</f>
        <v>5.083333333333333</v>
      </c>
    </row>
    <row r="52" spans="1:7" ht="16.5" customHeight="1" x14ac:dyDescent="0.3">
      <c r="A52" s="505" t="s">
        <v>19</v>
      </c>
      <c r="B52" s="506">
        <f>(STDEV(B45:B50)/B51)</f>
        <v>3.7077854029088459E-3</v>
      </c>
      <c r="C52" s="507"/>
      <c r="D52" s="507"/>
      <c r="E52" s="508"/>
    </row>
    <row r="53" spans="1:7" s="482" customFormat="1" ht="16.5" customHeight="1" x14ac:dyDescent="0.3">
      <c r="A53" s="509" t="s">
        <v>20</v>
      </c>
      <c r="B53" s="510">
        <f>COUNT(B45:B50)</f>
        <v>6</v>
      </c>
      <c r="C53" s="511"/>
      <c r="D53" s="512"/>
      <c r="E53" s="513"/>
    </row>
    <row r="54" spans="1:7" s="482" customFormat="1" ht="15.75" customHeight="1" x14ac:dyDescent="0.25">
      <c r="A54" s="489"/>
      <c r="B54" s="489"/>
      <c r="C54" s="489"/>
      <c r="D54" s="489"/>
      <c r="E54" s="489"/>
    </row>
    <row r="55" spans="1:7" s="482" customFormat="1" ht="16.5" customHeight="1" x14ac:dyDescent="0.3">
      <c r="A55" s="490" t="s">
        <v>21</v>
      </c>
      <c r="B55" s="514" t="s">
        <v>126</v>
      </c>
      <c r="C55" s="515"/>
      <c r="D55" s="515"/>
      <c r="E55" s="515"/>
    </row>
    <row r="56" spans="1:7" ht="16.5" customHeight="1" x14ac:dyDescent="0.3">
      <c r="A56" s="490"/>
      <c r="B56" s="514" t="s">
        <v>127</v>
      </c>
      <c r="C56" s="515"/>
      <c r="D56" s="515"/>
      <c r="E56" s="515"/>
    </row>
    <row r="57" spans="1:7" ht="16.5" customHeight="1" x14ac:dyDescent="0.3">
      <c r="A57" s="490"/>
      <c r="B57" s="514" t="s">
        <v>128</v>
      </c>
      <c r="C57" s="515"/>
      <c r="D57" s="515"/>
      <c r="E57" s="515"/>
    </row>
    <row r="58" spans="1:7" ht="14.25" customHeight="1" thickBot="1" x14ac:dyDescent="0.3">
      <c r="A58" s="516"/>
      <c r="B58" s="517"/>
      <c r="D58" s="518"/>
      <c r="F58" s="519"/>
      <c r="G58" s="519"/>
    </row>
    <row r="59" spans="1:7" ht="15" customHeight="1" x14ac:dyDescent="0.3">
      <c r="B59" s="520" t="s">
        <v>23</v>
      </c>
      <c r="C59" s="520"/>
      <c r="E59" s="521" t="s">
        <v>24</v>
      </c>
      <c r="F59" s="522"/>
      <c r="G59" s="521" t="s">
        <v>25</v>
      </c>
    </row>
    <row r="60" spans="1:7" ht="15" customHeight="1" x14ac:dyDescent="0.3">
      <c r="A60" s="523" t="s">
        <v>26</v>
      </c>
      <c r="B60" s="524"/>
      <c r="C60" s="524"/>
      <c r="E60" s="524"/>
      <c r="G60" s="524"/>
    </row>
    <row r="61" spans="1:7" ht="15" customHeight="1" x14ac:dyDescent="0.3">
      <c r="A61" s="523" t="s">
        <v>27</v>
      </c>
      <c r="B61" s="525"/>
      <c r="C61" s="525"/>
      <c r="E61" s="525"/>
      <c r="G61" s="52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82" customWidth="1"/>
    <col min="2" max="2" width="20.42578125" style="482" customWidth="1"/>
    <col min="3" max="3" width="31.85546875" style="482" customWidth="1"/>
    <col min="4" max="4" width="25.85546875" style="482" customWidth="1"/>
    <col min="5" max="5" width="25.7109375" style="482" customWidth="1"/>
    <col min="6" max="6" width="23.140625" style="482" customWidth="1"/>
    <col min="7" max="7" width="28.42578125" style="482" customWidth="1"/>
    <col min="8" max="8" width="21.5703125" style="482" customWidth="1"/>
    <col min="9" max="9" width="9.140625" style="482" customWidth="1"/>
    <col min="10" max="16384" width="9.140625" style="519"/>
  </cols>
  <sheetData>
    <row r="14" spans="1:6" ht="15" customHeight="1" x14ac:dyDescent="0.3">
      <c r="A14" s="481"/>
      <c r="C14" s="483"/>
      <c r="F14" s="483"/>
    </row>
    <row r="15" spans="1:6" ht="18.75" customHeight="1" x14ac:dyDescent="0.3">
      <c r="A15" s="484" t="s">
        <v>0</v>
      </c>
      <c r="B15" s="484"/>
      <c r="C15" s="484"/>
      <c r="D15" s="484"/>
      <c r="E15" s="484"/>
    </row>
    <row r="16" spans="1:6" ht="16.5" customHeight="1" x14ac:dyDescent="0.3">
      <c r="A16" s="485" t="s">
        <v>1</v>
      </c>
      <c r="B16" s="486" t="s">
        <v>2</v>
      </c>
    </row>
    <row r="17" spans="1:5" ht="16.5" customHeight="1" x14ac:dyDescent="0.3">
      <c r="A17" s="487" t="s">
        <v>3</v>
      </c>
      <c r="B17" s="487" t="str">
        <f>'amoxicillin Trihydrate'!B18:C18</f>
        <v>Aivclav-1000 Tablets</v>
      </c>
      <c r="D17" s="488"/>
      <c r="E17" s="489"/>
    </row>
    <row r="18" spans="1:5" ht="16.5" customHeight="1" x14ac:dyDescent="0.3">
      <c r="A18" s="490" t="s">
        <v>4</v>
      </c>
      <c r="B18" s="487" t="s">
        <v>125</v>
      </c>
      <c r="C18" s="489"/>
      <c r="D18" s="489"/>
      <c r="E18" s="489"/>
    </row>
    <row r="19" spans="1:5" ht="16.5" customHeight="1" x14ac:dyDescent="0.3">
      <c r="A19" s="490" t="s">
        <v>6</v>
      </c>
      <c r="B19" s="491">
        <v>86.6</v>
      </c>
      <c r="C19" s="489"/>
      <c r="D19" s="489"/>
      <c r="E19" s="489"/>
    </row>
    <row r="20" spans="1:5" ht="16.5" customHeight="1" x14ac:dyDescent="0.3">
      <c r="A20" s="487" t="s">
        <v>8</v>
      </c>
      <c r="B20" s="491">
        <v>28.39</v>
      </c>
      <c r="C20" s="489"/>
      <c r="D20" s="489"/>
      <c r="E20" s="489"/>
    </row>
    <row r="21" spans="1:5" ht="16.5" customHeight="1" x14ac:dyDescent="0.3">
      <c r="A21" s="487" t="s">
        <v>10</v>
      </c>
      <c r="B21" s="492">
        <v>0.5</v>
      </c>
      <c r="C21" s="489"/>
      <c r="D21" s="489"/>
      <c r="E21" s="489"/>
    </row>
    <row r="22" spans="1:5" ht="15.75" customHeight="1" x14ac:dyDescent="0.25">
      <c r="A22" s="489"/>
      <c r="B22" s="489"/>
      <c r="C22" s="489"/>
      <c r="D22" s="489"/>
      <c r="E22" s="489"/>
    </row>
    <row r="23" spans="1:5" ht="16.5" customHeight="1" x14ac:dyDescent="0.3">
      <c r="A23" s="493" t="s">
        <v>13</v>
      </c>
      <c r="B23" s="494" t="s">
        <v>14</v>
      </c>
      <c r="C23" s="493" t="s">
        <v>15</v>
      </c>
      <c r="D23" s="493" t="s">
        <v>16</v>
      </c>
      <c r="E23" s="493" t="s">
        <v>17</v>
      </c>
    </row>
    <row r="24" spans="1:5" ht="16.5" customHeight="1" x14ac:dyDescent="0.3">
      <c r="A24" s="495">
        <v>1</v>
      </c>
      <c r="B24" s="496">
        <v>122071912</v>
      </c>
      <c r="C24" s="496">
        <v>7167.1</v>
      </c>
      <c r="D24" s="497">
        <v>1.1000000000000001</v>
      </c>
      <c r="E24" s="498">
        <v>5.3</v>
      </c>
    </row>
    <row r="25" spans="1:5" ht="16.5" customHeight="1" x14ac:dyDescent="0.3">
      <c r="A25" s="495">
        <v>2</v>
      </c>
      <c r="B25" s="496">
        <v>122314291</v>
      </c>
      <c r="C25" s="496">
        <v>7182.3</v>
      </c>
      <c r="D25" s="497">
        <v>1</v>
      </c>
      <c r="E25" s="497">
        <v>5.3</v>
      </c>
    </row>
    <row r="26" spans="1:5" ht="16.5" customHeight="1" x14ac:dyDescent="0.3">
      <c r="A26" s="495">
        <v>3</v>
      </c>
      <c r="B26" s="496">
        <v>122420674</v>
      </c>
      <c r="C26" s="496">
        <v>7162.6</v>
      </c>
      <c r="D26" s="497">
        <v>1.1000000000000001</v>
      </c>
      <c r="E26" s="497">
        <v>5.2</v>
      </c>
    </row>
    <row r="27" spans="1:5" ht="16.5" customHeight="1" x14ac:dyDescent="0.3">
      <c r="A27" s="495">
        <v>4</v>
      </c>
      <c r="B27" s="496">
        <v>121968417</v>
      </c>
      <c r="C27" s="496">
        <v>7201.7</v>
      </c>
      <c r="D27" s="497">
        <v>1.1000000000000001</v>
      </c>
      <c r="E27" s="497">
        <v>5.2</v>
      </c>
    </row>
    <row r="28" spans="1:5" ht="16.5" customHeight="1" x14ac:dyDescent="0.3">
      <c r="A28" s="495">
        <v>5</v>
      </c>
      <c r="B28" s="496">
        <v>122791982</v>
      </c>
      <c r="C28" s="496">
        <v>7215</v>
      </c>
      <c r="D28" s="497">
        <v>1.1000000000000001</v>
      </c>
      <c r="E28" s="497">
        <v>5.2</v>
      </c>
    </row>
    <row r="29" spans="1:5" ht="16.5" customHeight="1" x14ac:dyDescent="0.3">
      <c r="A29" s="495">
        <v>6</v>
      </c>
      <c r="B29" s="499">
        <v>122533821</v>
      </c>
      <c r="C29" s="499">
        <v>7242.6</v>
      </c>
      <c r="D29" s="500">
        <v>1</v>
      </c>
      <c r="E29" s="500">
        <v>5.2</v>
      </c>
    </row>
    <row r="30" spans="1:5" ht="16.5" customHeight="1" x14ac:dyDescent="0.3">
      <c r="A30" s="501" t="s">
        <v>18</v>
      </c>
      <c r="B30" s="502">
        <f>AVERAGE(B24:B29)</f>
        <v>122350182.83333333</v>
      </c>
      <c r="C30" s="503">
        <f>AVERAGE(C24:C29)</f>
        <v>7195.2166666666662</v>
      </c>
      <c r="D30" s="504">
        <f>AVERAGE(D24:D29)</f>
        <v>1.0666666666666667</v>
      </c>
      <c r="E30" s="504">
        <f>AVERAGE(E24:E29)</f>
        <v>5.2333333333333334</v>
      </c>
    </row>
    <row r="31" spans="1:5" ht="16.5" customHeight="1" x14ac:dyDescent="0.3">
      <c r="A31" s="505" t="s">
        <v>19</v>
      </c>
      <c r="B31" s="506">
        <f>(STDEV(B24:B29)/B30)</f>
        <v>2.4746132991900812E-3</v>
      </c>
      <c r="C31" s="507"/>
      <c r="D31" s="507"/>
      <c r="E31" s="508"/>
    </row>
    <row r="32" spans="1:5" s="482" customFormat="1" ht="16.5" customHeight="1" x14ac:dyDescent="0.3">
      <c r="A32" s="509" t="s">
        <v>20</v>
      </c>
      <c r="B32" s="510">
        <f>COUNT(B24:B29)</f>
        <v>6</v>
      </c>
      <c r="C32" s="511"/>
      <c r="D32" s="512"/>
      <c r="E32" s="513"/>
    </row>
    <row r="33" spans="1:5" s="482" customFormat="1" ht="15.75" customHeight="1" x14ac:dyDescent="0.25">
      <c r="A33" s="489"/>
      <c r="B33" s="489"/>
      <c r="C33" s="489"/>
      <c r="D33" s="489"/>
      <c r="E33" s="489"/>
    </row>
    <row r="34" spans="1:5" s="482" customFormat="1" ht="16.5" customHeight="1" x14ac:dyDescent="0.3">
      <c r="A34" s="490" t="s">
        <v>21</v>
      </c>
      <c r="B34" s="514" t="s">
        <v>126</v>
      </c>
      <c r="C34" s="515"/>
      <c r="D34" s="515"/>
      <c r="E34" s="515"/>
    </row>
    <row r="35" spans="1:5" ht="16.5" customHeight="1" x14ac:dyDescent="0.3">
      <c r="A35" s="490"/>
      <c r="B35" s="514" t="s">
        <v>127</v>
      </c>
      <c r="C35" s="515"/>
      <c r="D35" s="515"/>
      <c r="E35" s="515"/>
    </row>
    <row r="36" spans="1:5" ht="16.5" customHeight="1" x14ac:dyDescent="0.3">
      <c r="A36" s="490"/>
      <c r="B36" s="514" t="s">
        <v>128</v>
      </c>
      <c r="C36" s="515"/>
      <c r="D36" s="515"/>
      <c r="E36" s="515"/>
    </row>
    <row r="37" spans="1:5" ht="15.75" customHeight="1" x14ac:dyDescent="0.25">
      <c r="A37" s="489"/>
      <c r="B37" s="489"/>
      <c r="C37" s="489"/>
      <c r="D37" s="489"/>
      <c r="E37" s="489"/>
    </row>
    <row r="38" spans="1:5" ht="16.5" customHeight="1" x14ac:dyDescent="0.3">
      <c r="A38" s="485" t="s">
        <v>1</v>
      </c>
      <c r="B38" s="486" t="s">
        <v>22</v>
      </c>
    </row>
    <row r="39" spans="1:5" ht="16.5" customHeight="1" x14ac:dyDescent="0.3">
      <c r="A39" s="490" t="s">
        <v>4</v>
      </c>
      <c r="B39" s="487" t="s">
        <v>125</v>
      </c>
      <c r="C39" s="489"/>
      <c r="D39" s="489"/>
      <c r="E39" s="489"/>
    </row>
    <row r="40" spans="1:5" ht="16.5" customHeight="1" x14ac:dyDescent="0.3">
      <c r="A40" s="490" t="s">
        <v>6</v>
      </c>
      <c r="B40" s="491">
        <v>86.6</v>
      </c>
      <c r="C40" s="489"/>
      <c r="D40" s="489"/>
      <c r="E40" s="489"/>
    </row>
    <row r="41" spans="1:5" ht="16.5" customHeight="1" x14ac:dyDescent="0.3">
      <c r="A41" s="487" t="s">
        <v>8</v>
      </c>
      <c r="B41" s="491">
        <v>26.66</v>
      </c>
      <c r="C41" s="489"/>
      <c r="D41" s="489"/>
      <c r="E41" s="489"/>
    </row>
    <row r="42" spans="1:5" ht="16.5" customHeight="1" x14ac:dyDescent="0.3">
      <c r="A42" s="487" t="s">
        <v>10</v>
      </c>
      <c r="B42" s="492">
        <v>0.5</v>
      </c>
      <c r="C42" s="489"/>
      <c r="D42" s="489"/>
      <c r="E42" s="489"/>
    </row>
    <row r="43" spans="1:5" ht="15.75" customHeight="1" x14ac:dyDescent="0.25">
      <c r="A43" s="489"/>
      <c r="B43" s="489"/>
      <c r="C43" s="489"/>
      <c r="D43" s="489"/>
      <c r="E43" s="489"/>
    </row>
    <row r="44" spans="1:5" ht="16.5" customHeight="1" x14ac:dyDescent="0.3">
      <c r="A44" s="493" t="s">
        <v>13</v>
      </c>
      <c r="B44" s="494" t="s">
        <v>14</v>
      </c>
      <c r="C44" s="493" t="s">
        <v>15</v>
      </c>
      <c r="D44" s="493" t="s">
        <v>16</v>
      </c>
      <c r="E44" s="493" t="s">
        <v>17</v>
      </c>
    </row>
    <row r="45" spans="1:5" ht="16.5" customHeight="1" x14ac:dyDescent="0.3">
      <c r="A45" s="495">
        <v>1</v>
      </c>
      <c r="B45" s="496">
        <v>120519199</v>
      </c>
      <c r="C45" s="496">
        <v>10599.19</v>
      </c>
      <c r="D45" s="497">
        <v>0.98</v>
      </c>
      <c r="E45" s="498">
        <v>7.12</v>
      </c>
    </row>
    <row r="46" spans="1:5" ht="16.5" customHeight="1" x14ac:dyDescent="0.3">
      <c r="A46" s="495">
        <v>2</v>
      </c>
      <c r="B46" s="496">
        <v>120658160</v>
      </c>
      <c r="C46" s="496">
        <v>10692.02</v>
      </c>
      <c r="D46" s="497">
        <v>0.96</v>
      </c>
      <c r="E46" s="497">
        <v>7.17</v>
      </c>
    </row>
    <row r="47" spans="1:5" ht="16.5" customHeight="1" x14ac:dyDescent="0.3">
      <c r="A47" s="495">
        <v>3</v>
      </c>
      <c r="B47" s="496">
        <v>121158802</v>
      </c>
      <c r="C47" s="496">
        <v>10745.31</v>
      </c>
      <c r="D47" s="497">
        <v>0.98</v>
      </c>
      <c r="E47" s="497">
        <v>7.18</v>
      </c>
    </row>
    <row r="48" spans="1:5" ht="16.5" customHeight="1" x14ac:dyDescent="0.3">
      <c r="A48" s="495">
        <v>4</v>
      </c>
      <c r="B48" s="496">
        <v>121367124</v>
      </c>
      <c r="C48" s="496">
        <v>10760.27</v>
      </c>
      <c r="D48" s="497">
        <v>0.97</v>
      </c>
      <c r="E48" s="497">
        <v>7.19</v>
      </c>
    </row>
    <row r="49" spans="1:7" ht="16.5" customHeight="1" x14ac:dyDescent="0.3">
      <c r="A49" s="495">
        <v>5</v>
      </c>
      <c r="B49" s="496">
        <v>120635260</v>
      </c>
      <c r="C49" s="496">
        <v>10762.48</v>
      </c>
      <c r="D49" s="497">
        <v>0.99</v>
      </c>
      <c r="E49" s="497">
        <v>7.2</v>
      </c>
    </row>
    <row r="50" spans="1:7" ht="16.5" customHeight="1" x14ac:dyDescent="0.3">
      <c r="A50" s="495">
        <v>6</v>
      </c>
      <c r="B50" s="499">
        <v>120574520</v>
      </c>
      <c r="C50" s="499">
        <v>10760.19</v>
      </c>
      <c r="D50" s="500">
        <v>0.98</v>
      </c>
      <c r="E50" s="500">
        <v>7.2</v>
      </c>
    </row>
    <row r="51" spans="1:7" ht="16.5" customHeight="1" x14ac:dyDescent="0.3">
      <c r="A51" s="501" t="s">
        <v>18</v>
      </c>
      <c r="B51" s="502">
        <f>AVERAGE(B45:B50)</f>
        <v>120818844.16666667</v>
      </c>
      <c r="C51" s="503">
        <f>AVERAGE(C45:C50)</f>
        <v>10719.909999999998</v>
      </c>
      <c r="D51" s="504">
        <f>AVERAGE(D45:D50)</f>
        <v>0.97666666666666657</v>
      </c>
      <c r="E51" s="504">
        <f>AVERAGE(E45:E50)</f>
        <v>7.1766666666666667</v>
      </c>
    </row>
    <row r="52" spans="1:7" ht="16.5" customHeight="1" x14ac:dyDescent="0.3">
      <c r="A52" s="505" t="s">
        <v>19</v>
      </c>
      <c r="B52" s="506">
        <f>(STDEV(B45:B50)/B51)</f>
        <v>2.9267458040827762E-3</v>
      </c>
      <c r="C52" s="507"/>
      <c r="D52" s="507"/>
      <c r="E52" s="508"/>
    </row>
    <row r="53" spans="1:7" s="482" customFormat="1" ht="16.5" customHeight="1" x14ac:dyDescent="0.3">
      <c r="A53" s="509" t="s">
        <v>20</v>
      </c>
      <c r="B53" s="510">
        <f>COUNT(B45:B50)</f>
        <v>6</v>
      </c>
      <c r="C53" s="511"/>
      <c r="D53" s="512"/>
      <c r="E53" s="513"/>
    </row>
    <row r="54" spans="1:7" s="482" customFormat="1" ht="15.75" customHeight="1" x14ac:dyDescent="0.25">
      <c r="A54" s="489"/>
      <c r="B54" s="489"/>
      <c r="C54" s="489"/>
      <c r="D54" s="489"/>
      <c r="E54" s="489"/>
    </row>
    <row r="55" spans="1:7" s="482" customFormat="1" ht="16.5" customHeight="1" x14ac:dyDescent="0.3">
      <c r="A55" s="490" t="s">
        <v>21</v>
      </c>
      <c r="B55" s="514" t="s">
        <v>126</v>
      </c>
      <c r="C55" s="515"/>
      <c r="D55" s="515"/>
      <c r="E55" s="515"/>
    </row>
    <row r="56" spans="1:7" ht="16.5" customHeight="1" x14ac:dyDescent="0.3">
      <c r="A56" s="490"/>
      <c r="B56" s="514" t="s">
        <v>127</v>
      </c>
      <c r="C56" s="515"/>
      <c r="D56" s="515"/>
      <c r="E56" s="515"/>
    </row>
    <row r="57" spans="1:7" ht="16.5" customHeight="1" x14ac:dyDescent="0.3">
      <c r="A57" s="490"/>
      <c r="B57" s="514" t="s">
        <v>128</v>
      </c>
      <c r="C57" s="515"/>
      <c r="D57" s="515"/>
      <c r="E57" s="515"/>
    </row>
    <row r="58" spans="1:7" ht="14.25" customHeight="1" thickBot="1" x14ac:dyDescent="0.3">
      <c r="A58" s="516"/>
      <c r="B58" s="517"/>
      <c r="D58" s="518"/>
      <c r="F58" s="519"/>
      <c r="G58" s="519"/>
    </row>
    <row r="59" spans="1:7" ht="15" customHeight="1" x14ac:dyDescent="0.3">
      <c r="B59" s="520" t="s">
        <v>23</v>
      </c>
      <c r="C59" s="520"/>
      <c r="E59" s="521" t="s">
        <v>24</v>
      </c>
      <c r="F59" s="522"/>
      <c r="G59" s="521" t="s">
        <v>25</v>
      </c>
    </row>
    <row r="60" spans="1:7" ht="15" customHeight="1" x14ac:dyDescent="0.3">
      <c r="A60" s="523" t="s">
        <v>26</v>
      </c>
      <c r="B60" s="524"/>
      <c r="C60" s="524"/>
      <c r="E60" s="524"/>
      <c r="G60" s="524"/>
    </row>
    <row r="61" spans="1:7" ht="15" customHeight="1" x14ac:dyDescent="0.3">
      <c r="A61" s="523" t="s">
        <v>27</v>
      </c>
      <c r="B61" s="525"/>
      <c r="C61" s="525"/>
      <c r="E61" s="525"/>
      <c r="G61" s="52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1" sqref="A11:O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98" t="s">
        <v>28</v>
      </c>
      <c r="B11" s="399"/>
      <c r="C11" s="399"/>
      <c r="D11" s="399"/>
      <c r="E11" s="399"/>
      <c r="F11" s="400"/>
      <c r="G11" s="43"/>
    </row>
    <row r="12" spans="1:7" ht="16.5" customHeight="1" x14ac:dyDescent="0.3">
      <c r="A12" s="397" t="s">
        <v>29</v>
      </c>
      <c r="B12" s="397"/>
      <c r="C12" s="397"/>
      <c r="D12" s="397"/>
      <c r="E12" s="397"/>
      <c r="F12" s="397"/>
      <c r="G12" s="42"/>
    </row>
    <row r="14" spans="1:7" ht="16.5" customHeight="1" x14ac:dyDescent="0.3">
      <c r="A14" s="402" t="s">
        <v>30</v>
      </c>
      <c r="B14" s="402"/>
      <c r="C14" s="12" t="s">
        <v>5</v>
      </c>
    </row>
    <row r="15" spans="1:7" ht="16.5" customHeight="1" x14ac:dyDescent="0.3">
      <c r="A15" s="402" t="s">
        <v>31</v>
      </c>
      <c r="B15" s="402"/>
      <c r="C15" s="12" t="s">
        <v>7</v>
      </c>
    </row>
    <row r="16" spans="1:7" ht="16.5" customHeight="1" x14ac:dyDescent="0.3">
      <c r="A16" s="402" t="s">
        <v>32</v>
      </c>
      <c r="B16" s="402"/>
      <c r="C16" s="12" t="s">
        <v>9</v>
      </c>
    </row>
    <row r="17" spans="1:5" ht="16.5" customHeight="1" x14ac:dyDescent="0.3">
      <c r="A17" s="402" t="s">
        <v>33</v>
      </c>
      <c r="B17" s="402"/>
      <c r="C17" s="12" t="s">
        <v>11</v>
      </c>
    </row>
    <row r="18" spans="1:5" ht="16.5" customHeight="1" x14ac:dyDescent="0.3">
      <c r="A18" s="402" t="s">
        <v>34</v>
      </c>
      <c r="B18" s="402"/>
      <c r="C18" s="49" t="s">
        <v>12</v>
      </c>
    </row>
    <row r="19" spans="1:5" ht="16.5" customHeight="1" x14ac:dyDescent="0.3">
      <c r="A19" s="402" t="s">
        <v>35</v>
      </c>
      <c r="B19" s="40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397" t="s">
        <v>1</v>
      </c>
      <c r="B21" s="397"/>
      <c r="C21" s="11" t="s">
        <v>36</v>
      </c>
      <c r="D21" s="18"/>
    </row>
    <row r="22" spans="1:5" ht="15.75" customHeight="1" x14ac:dyDescent="0.3">
      <c r="A22" s="401"/>
      <c r="B22" s="401"/>
      <c r="C22" s="9"/>
      <c r="D22" s="401"/>
      <c r="E22" s="401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1457.37</v>
      </c>
      <c r="D24" s="39">
        <f t="shared" ref="D24:D43" si="0">(C24-$C$46)/$C$46</f>
        <v>-1.5411285710570122E-2</v>
      </c>
      <c r="E24" s="5"/>
    </row>
    <row r="25" spans="1:5" ht="15.75" customHeight="1" x14ac:dyDescent="0.3">
      <c r="C25" s="47">
        <v>1498.51</v>
      </c>
      <c r="D25" s="40">
        <f t="shared" si="0"/>
        <v>1.238260307941955E-2</v>
      </c>
      <c r="E25" s="5"/>
    </row>
    <row r="26" spans="1:5" ht="15.75" customHeight="1" x14ac:dyDescent="0.3">
      <c r="C26" s="47">
        <v>1480.45</v>
      </c>
      <c r="D26" s="40">
        <f t="shared" si="0"/>
        <v>1.8139667331330893E-4</v>
      </c>
      <c r="E26" s="5"/>
    </row>
    <row r="27" spans="1:5" ht="15.75" customHeight="1" x14ac:dyDescent="0.3">
      <c r="C27" s="47">
        <v>1462.51</v>
      </c>
      <c r="D27" s="40">
        <f t="shared" si="0"/>
        <v>-1.1938738593882E-2</v>
      </c>
      <c r="E27" s="5"/>
    </row>
    <row r="28" spans="1:5" ht="15.75" customHeight="1" x14ac:dyDescent="0.3">
      <c r="C28" s="47">
        <v>1491.34</v>
      </c>
      <c r="D28" s="40">
        <f t="shared" si="0"/>
        <v>7.5386025294869414E-3</v>
      </c>
      <c r="E28" s="5"/>
    </row>
    <row r="29" spans="1:5" ht="15.75" customHeight="1" x14ac:dyDescent="0.3">
      <c r="C29" s="47">
        <v>1473.48</v>
      </c>
      <c r="D29" s="40">
        <f t="shared" si="0"/>
        <v>-4.527485311767593E-3</v>
      </c>
      <c r="E29" s="5"/>
    </row>
    <row r="30" spans="1:5" ht="15.75" customHeight="1" x14ac:dyDescent="0.3">
      <c r="C30" s="47">
        <v>1501.5</v>
      </c>
      <c r="D30" s="40">
        <f t="shared" si="0"/>
        <v>1.4402625623952101E-2</v>
      </c>
      <c r="E30" s="5"/>
    </row>
    <row r="31" spans="1:5" ht="15.75" customHeight="1" x14ac:dyDescent="0.3">
      <c r="C31" s="47">
        <v>1494.63</v>
      </c>
      <c r="D31" s="40">
        <f t="shared" si="0"/>
        <v>9.7613029212971283E-3</v>
      </c>
      <c r="E31" s="5"/>
    </row>
    <row r="32" spans="1:5" ht="15.75" customHeight="1" x14ac:dyDescent="0.3">
      <c r="C32" s="47">
        <v>1433.78</v>
      </c>
      <c r="D32" s="40">
        <f t="shared" si="0"/>
        <v>-3.1348520434825167E-2</v>
      </c>
      <c r="E32" s="5"/>
    </row>
    <row r="33" spans="1:7" ht="15.75" customHeight="1" x14ac:dyDescent="0.3">
      <c r="C33" s="47">
        <v>1498.59</v>
      </c>
      <c r="D33" s="40">
        <f t="shared" si="0"/>
        <v>1.2436650505360171E-2</v>
      </c>
      <c r="E33" s="5"/>
    </row>
    <row r="34" spans="1:7" ht="15.75" customHeight="1" x14ac:dyDescent="0.3">
      <c r="C34" s="47">
        <v>1469.89</v>
      </c>
      <c r="D34" s="40">
        <f t="shared" si="0"/>
        <v>-6.9528635508551082E-3</v>
      </c>
      <c r="E34" s="5"/>
    </row>
    <row r="35" spans="1:7" ht="15.75" customHeight="1" x14ac:dyDescent="0.3">
      <c r="C35" s="47">
        <v>1489.4</v>
      </c>
      <c r="D35" s="40">
        <f t="shared" si="0"/>
        <v>6.2279524504258079E-3</v>
      </c>
      <c r="E35" s="5"/>
    </row>
    <row r="36" spans="1:7" ht="15.75" customHeight="1" x14ac:dyDescent="0.3">
      <c r="C36" s="47">
        <v>1463.59</v>
      </c>
      <c r="D36" s="40">
        <f t="shared" si="0"/>
        <v>-1.1209098343683003E-2</v>
      </c>
      <c r="E36" s="5"/>
    </row>
    <row r="37" spans="1:7" ht="15.75" customHeight="1" x14ac:dyDescent="0.3">
      <c r="C37" s="47">
        <v>1477.14</v>
      </c>
      <c r="D37" s="40">
        <f t="shared" si="0"/>
        <v>-2.05481557498188E-3</v>
      </c>
      <c r="E37" s="5"/>
    </row>
    <row r="38" spans="1:7" ht="15.75" customHeight="1" x14ac:dyDescent="0.3">
      <c r="C38" s="47">
        <v>1447.34</v>
      </c>
      <c r="D38" s="40">
        <f t="shared" si="0"/>
        <v>-2.2187481737881619E-2</v>
      </c>
      <c r="E38" s="5"/>
    </row>
    <row r="39" spans="1:7" ht="15.75" customHeight="1" x14ac:dyDescent="0.3">
      <c r="C39" s="47">
        <v>1510.13</v>
      </c>
      <c r="D39" s="40">
        <f t="shared" si="0"/>
        <v>2.0232991697301961E-2</v>
      </c>
      <c r="E39" s="5"/>
    </row>
    <row r="40" spans="1:7" ht="15.75" customHeight="1" x14ac:dyDescent="0.3">
      <c r="C40" s="47">
        <v>1479.43</v>
      </c>
      <c r="D40" s="40">
        <f t="shared" si="0"/>
        <v>-5.0770800743022272E-4</v>
      </c>
      <c r="E40" s="5"/>
    </row>
    <row r="41" spans="1:7" ht="15.75" customHeight="1" x14ac:dyDescent="0.3">
      <c r="C41" s="47">
        <v>1474.52</v>
      </c>
      <c r="D41" s="40">
        <f t="shared" si="0"/>
        <v>-3.824868774538906E-3</v>
      </c>
      <c r="E41" s="5"/>
    </row>
    <row r="42" spans="1:7" ht="15.75" customHeight="1" x14ac:dyDescent="0.3">
      <c r="C42" s="47">
        <v>1493.53</v>
      </c>
      <c r="D42" s="40">
        <f t="shared" si="0"/>
        <v>9.0181508146128225E-3</v>
      </c>
      <c r="E42" s="5"/>
    </row>
    <row r="43" spans="1:7" ht="16.5" customHeight="1" x14ac:dyDescent="0.3">
      <c r="C43" s="48">
        <v>1506.5</v>
      </c>
      <c r="D43" s="41">
        <f t="shared" si="0"/>
        <v>1.7780589745243984E-2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29603.63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1480.1815000000001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395">
        <f>C46</f>
        <v>1480.1815000000001</v>
      </c>
      <c r="C49" s="45">
        <f>-IF(C46&lt;=80,10%,IF(C46&lt;250,7.5%,5%))</f>
        <v>-0.05</v>
      </c>
      <c r="D49" s="33">
        <f>IF(C46&lt;=80,C46*0.9,IF(C46&lt;250,C46*0.925,C46*0.95))</f>
        <v>1406.172425</v>
      </c>
    </row>
    <row r="50" spans="1:6" ht="17.25" customHeight="1" x14ac:dyDescent="0.3">
      <c r="B50" s="396"/>
      <c r="C50" s="46">
        <f>IF(C46&lt;=80, 10%, IF(C46&lt;250, 7.5%, 5%))</f>
        <v>0.05</v>
      </c>
      <c r="D50" s="33">
        <f>IF(C46&lt;=80, C46*1.1, IF(C46&lt;250, C46*1.075, C46*1.05))</f>
        <v>1554.1905750000003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6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03" t="s">
        <v>49</v>
      </c>
      <c r="B1" s="403"/>
      <c r="C1" s="403"/>
      <c r="D1" s="403"/>
      <c r="E1" s="403"/>
      <c r="F1" s="403"/>
      <c r="G1" s="403"/>
      <c r="H1" s="403"/>
      <c r="I1" s="403"/>
    </row>
    <row r="2" spans="1:9" ht="18.75" customHeight="1" x14ac:dyDescent="0.25">
      <c r="A2" s="403"/>
      <c r="B2" s="403"/>
      <c r="C2" s="403"/>
      <c r="D2" s="403"/>
      <c r="E2" s="403"/>
      <c r="F2" s="403"/>
      <c r="G2" s="403"/>
      <c r="H2" s="403"/>
      <c r="I2" s="403"/>
    </row>
    <row r="3" spans="1:9" ht="18.75" customHeight="1" x14ac:dyDescent="0.25">
      <c r="A3" s="403"/>
      <c r="B3" s="403"/>
      <c r="C3" s="403"/>
      <c r="D3" s="403"/>
      <c r="E3" s="403"/>
      <c r="F3" s="403"/>
      <c r="G3" s="403"/>
      <c r="H3" s="403"/>
      <c r="I3" s="403"/>
    </row>
    <row r="4" spans="1:9" ht="18.75" customHeight="1" x14ac:dyDescent="0.25">
      <c r="A4" s="403"/>
      <c r="B4" s="403"/>
      <c r="C4" s="403"/>
      <c r="D4" s="403"/>
      <c r="E4" s="403"/>
      <c r="F4" s="403"/>
      <c r="G4" s="403"/>
      <c r="H4" s="403"/>
      <c r="I4" s="403"/>
    </row>
    <row r="5" spans="1:9" ht="18.75" customHeight="1" x14ac:dyDescent="0.25">
      <c r="A5" s="403"/>
      <c r="B5" s="403"/>
      <c r="C5" s="403"/>
      <c r="D5" s="403"/>
      <c r="E5" s="403"/>
      <c r="F5" s="403"/>
      <c r="G5" s="403"/>
      <c r="H5" s="403"/>
      <c r="I5" s="403"/>
    </row>
    <row r="6" spans="1:9" ht="18.75" customHeight="1" x14ac:dyDescent="0.25">
      <c r="A6" s="403"/>
      <c r="B6" s="403"/>
      <c r="C6" s="403"/>
      <c r="D6" s="403"/>
      <c r="E6" s="403"/>
      <c r="F6" s="403"/>
      <c r="G6" s="403"/>
      <c r="H6" s="403"/>
      <c r="I6" s="403"/>
    </row>
    <row r="7" spans="1:9" ht="18.75" customHeight="1" x14ac:dyDescent="0.25">
      <c r="A7" s="403"/>
      <c r="B7" s="403"/>
      <c r="C7" s="403"/>
      <c r="D7" s="403"/>
      <c r="E7" s="403"/>
      <c r="F7" s="403"/>
      <c r="G7" s="403"/>
      <c r="H7" s="403"/>
      <c r="I7" s="403"/>
    </row>
    <row r="8" spans="1:9" x14ac:dyDescent="0.25">
      <c r="A8" s="404" t="s">
        <v>42</v>
      </c>
      <c r="B8" s="404"/>
      <c r="C8" s="404"/>
      <c r="D8" s="404"/>
      <c r="E8" s="404"/>
      <c r="F8" s="404"/>
      <c r="G8" s="404"/>
      <c r="H8" s="404"/>
      <c r="I8" s="404"/>
    </row>
    <row r="9" spans="1:9" x14ac:dyDescent="0.25">
      <c r="A9" s="404"/>
      <c r="B9" s="404"/>
      <c r="C9" s="404"/>
      <c r="D9" s="404"/>
      <c r="E9" s="404"/>
      <c r="F9" s="404"/>
      <c r="G9" s="404"/>
      <c r="H9" s="404"/>
      <c r="I9" s="404"/>
    </row>
    <row r="10" spans="1:9" x14ac:dyDescent="0.25">
      <c r="A10" s="404"/>
      <c r="B10" s="404"/>
      <c r="C10" s="404"/>
      <c r="D10" s="404"/>
      <c r="E10" s="404"/>
      <c r="F10" s="404"/>
      <c r="G10" s="404"/>
      <c r="H10" s="404"/>
      <c r="I10" s="404"/>
    </row>
    <row r="11" spans="1:9" x14ac:dyDescent="0.25">
      <c r="A11" s="404"/>
      <c r="B11" s="404"/>
      <c r="C11" s="404"/>
      <c r="D11" s="404"/>
      <c r="E11" s="404"/>
      <c r="F11" s="404"/>
      <c r="G11" s="404"/>
      <c r="H11" s="404"/>
      <c r="I11" s="404"/>
    </row>
    <row r="12" spans="1:9" x14ac:dyDescent="0.25">
      <c r="A12" s="404"/>
      <c r="B12" s="404"/>
      <c r="C12" s="404"/>
      <c r="D12" s="404"/>
      <c r="E12" s="404"/>
      <c r="F12" s="404"/>
      <c r="G12" s="404"/>
      <c r="H12" s="404"/>
      <c r="I12" s="404"/>
    </row>
    <row r="13" spans="1:9" x14ac:dyDescent="0.25">
      <c r="A13" s="404"/>
      <c r="B13" s="404"/>
      <c r="C13" s="404"/>
      <c r="D13" s="404"/>
      <c r="E13" s="404"/>
      <c r="F13" s="404"/>
      <c r="G13" s="404"/>
      <c r="H13" s="404"/>
      <c r="I13" s="404"/>
    </row>
    <row r="14" spans="1:9" x14ac:dyDescent="0.25">
      <c r="A14" s="404"/>
      <c r="B14" s="404"/>
      <c r="C14" s="404"/>
      <c r="D14" s="404"/>
      <c r="E14" s="404"/>
      <c r="F14" s="404"/>
      <c r="G14" s="404"/>
      <c r="H14" s="404"/>
      <c r="I14" s="404"/>
    </row>
    <row r="15" spans="1:9" ht="19.5" customHeight="1" x14ac:dyDescent="0.3">
      <c r="A15" s="50"/>
    </row>
    <row r="16" spans="1:9" ht="19.5" customHeight="1" x14ac:dyDescent="0.3">
      <c r="A16" s="437" t="s">
        <v>28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43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30</v>
      </c>
      <c r="B18" s="436" t="s">
        <v>5</v>
      </c>
      <c r="C18" s="436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41" t="s">
        <v>9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122</v>
      </c>
      <c r="C26" s="436"/>
    </row>
    <row r="27" spans="1:14" ht="26.25" customHeight="1" x14ac:dyDescent="0.4">
      <c r="A27" s="61" t="s">
        <v>50</v>
      </c>
      <c r="B27" s="434"/>
      <c r="C27" s="434"/>
    </row>
    <row r="28" spans="1:14" ht="27" customHeight="1" x14ac:dyDescent="0.4">
      <c r="A28" s="61" t="s">
        <v>6</v>
      </c>
      <c r="B28" s="62">
        <v>86.6</v>
      </c>
    </row>
    <row r="29" spans="1:14" s="3" customFormat="1" ht="27" customHeight="1" x14ac:dyDescent="0.4">
      <c r="A29" s="61" t="s">
        <v>51</v>
      </c>
      <c r="B29" s="63"/>
      <c r="C29" s="411" t="s">
        <v>52</v>
      </c>
      <c r="D29" s="412"/>
      <c r="E29" s="412"/>
      <c r="F29" s="412"/>
      <c r="G29" s="413"/>
      <c r="I29" s="64"/>
      <c r="J29" s="64"/>
      <c r="K29" s="64"/>
      <c r="L29" s="64"/>
    </row>
    <row r="30" spans="1:14" s="3" customFormat="1" ht="19.5" customHeight="1" x14ac:dyDescent="0.3">
      <c r="A30" s="61" t="s">
        <v>53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54</v>
      </c>
      <c r="B31" s="68">
        <v>1</v>
      </c>
      <c r="C31" s="414" t="s">
        <v>55</v>
      </c>
      <c r="D31" s="415"/>
      <c r="E31" s="415"/>
      <c r="F31" s="415"/>
      <c r="G31" s="415"/>
      <c r="H31" s="416"/>
      <c r="I31" s="64"/>
      <c r="J31" s="64"/>
      <c r="K31" s="64"/>
      <c r="L31" s="64"/>
    </row>
    <row r="32" spans="1:14" s="3" customFormat="1" ht="27" customHeight="1" x14ac:dyDescent="0.4">
      <c r="A32" s="61" t="s">
        <v>56</v>
      </c>
      <c r="B32" s="68">
        <v>1</v>
      </c>
      <c r="C32" s="414" t="s">
        <v>57</v>
      </c>
      <c r="D32" s="415"/>
      <c r="E32" s="415"/>
      <c r="F32" s="415"/>
      <c r="G32" s="415"/>
      <c r="H32" s="41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58</v>
      </c>
      <c r="B34" s="73">
        <f>B31/B32</f>
        <v>1</v>
      </c>
      <c r="C34" s="51" t="s">
        <v>59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60</v>
      </c>
      <c r="B36" s="75">
        <v>20</v>
      </c>
      <c r="C36" s="51"/>
      <c r="D36" s="417" t="s">
        <v>61</v>
      </c>
      <c r="E36" s="435"/>
      <c r="F36" s="417" t="s">
        <v>62</v>
      </c>
      <c r="G36" s="41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63</v>
      </c>
      <c r="B37" s="77">
        <v>10</v>
      </c>
      <c r="C37" s="78" t="s">
        <v>64</v>
      </c>
      <c r="D37" s="79" t="s">
        <v>65</v>
      </c>
      <c r="E37" s="80" t="s">
        <v>66</v>
      </c>
      <c r="F37" s="79" t="s">
        <v>65</v>
      </c>
      <c r="G37" s="81" t="s">
        <v>66</v>
      </c>
      <c r="I37" s="82" t="s">
        <v>67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68</v>
      </c>
      <c r="B38" s="77">
        <v>25</v>
      </c>
      <c r="C38" s="83">
        <v>1</v>
      </c>
      <c r="D38" s="84">
        <v>119486716</v>
      </c>
      <c r="E38" s="85">
        <f>IF(ISBLANK(D38),"-",$D$48/$D$45*D38)</f>
        <v>121500019.93025225</v>
      </c>
      <c r="F38" s="84"/>
      <c r="G38" s="86" t="str">
        <f>IF(ISBLANK(F38),"-",$D$48/$F$45*F38)</f>
        <v>-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69</v>
      </c>
      <c r="B39" s="77">
        <v>1</v>
      </c>
      <c r="C39" s="88">
        <v>2</v>
      </c>
      <c r="D39" s="89">
        <v>118884487</v>
      </c>
      <c r="E39" s="90">
        <f>IF(ISBLANK(D39),"-",$D$48/$D$45*D39)</f>
        <v>120887643.60966967</v>
      </c>
      <c r="F39" s="89">
        <v>115693147</v>
      </c>
      <c r="G39" s="91">
        <f>IF(ISBLANK(F39),"-",$D$48/$F$45*F39)</f>
        <v>120529464.06321496</v>
      </c>
      <c r="I39" s="419">
        <f>ABS((F43/D43*D42)-F42)/D42</f>
        <v>2.8726851879071185E-3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70</v>
      </c>
      <c r="B40" s="77">
        <v>1</v>
      </c>
      <c r="C40" s="88">
        <v>3</v>
      </c>
      <c r="D40" s="89">
        <v>119086769</v>
      </c>
      <c r="E40" s="90">
        <f>IF(ISBLANK(D40),"-",$D$48/$D$45*D40)</f>
        <v>121093333.98140548</v>
      </c>
      <c r="F40" s="89">
        <v>115954926</v>
      </c>
      <c r="G40" s="91">
        <f>IF(ISBLANK(F40),"-",$D$48/$F$45*F40)</f>
        <v>120802186.20269488</v>
      </c>
      <c r="I40" s="419"/>
      <c r="L40" s="69"/>
      <c r="M40" s="69"/>
      <c r="N40" s="92"/>
    </row>
    <row r="41" spans="1:14" ht="27" customHeight="1" x14ac:dyDescent="0.4">
      <c r="A41" s="76" t="s">
        <v>71</v>
      </c>
      <c r="B41" s="77">
        <v>1</v>
      </c>
      <c r="C41" s="93">
        <v>4</v>
      </c>
      <c r="D41" s="94">
        <v>119988697</v>
      </c>
      <c r="E41" s="95">
        <f>IF(ISBLANK(D41),"-",$D$48/$D$45*D41)</f>
        <v>122010459.11166391</v>
      </c>
      <c r="F41" s="94">
        <v>116831377</v>
      </c>
      <c r="G41" s="96">
        <f>IF(ISBLANK(F41),"-",$D$48/$F$45*F41)</f>
        <v>121715275.4568723</v>
      </c>
      <c r="I41" s="97"/>
      <c r="L41" s="69"/>
      <c r="M41" s="69"/>
      <c r="N41" s="92"/>
    </row>
    <row r="42" spans="1:14" ht="27" customHeight="1" x14ac:dyDescent="0.4">
      <c r="A42" s="76" t="s">
        <v>72</v>
      </c>
      <c r="B42" s="77">
        <v>1</v>
      </c>
      <c r="C42" s="98" t="s">
        <v>73</v>
      </c>
      <c r="D42" s="99">
        <f>AVERAGE(D38:D41)</f>
        <v>119361667.25</v>
      </c>
      <c r="E42" s="100">
        <f>AVERAGE(E38:E41)</f>
        <v>121372864.15824783</v>
      </c>
      <c r="F42" s="99">
        <f>AVERAGE(F38:F41)</f>
        <v>116159816.66666667</v>
      </c>
      <c r="G42" s="101">
        <f>AVERAGE(G38:G41)</f>
        <v>121015641.90759404</v>
      </c>
      <c r="H42" s="102"/>
    </row>
    <row r="43" spans="1:14" ht="26.25" customHeight="1" x14ac:dyDescent="0.4">
      <c r="A43" s="76" t="s">
        <v>74</v>
      </c>
      <c r="B43" s="77">
        <v>1</v>
      </c>
      <c r="C43" s="103" t="s">
        <v>75</v>
      </c>
      <c r="D43" s="104">
        <v>28.39</v>
      </c>
      <c r="E43" s="92"/>
      <c r="F43" s="104">
        <v>27.71</v>
      </c>
      <c r="H43" s="102"/>
    </row>
    <row r="44" spans="1:14" ht="26.25" customHeight="1" x14ac:dyDescent="0.4">
      <c r="A44" s="76" t="s">
        <v>76</v>
      </c>
      <c r="B44" s="77">
        <v>1</v>
      </c>
      <c r="C44" s="105" t="s">
        <v>77</v>
      </c>
      <c r="D44" s="106">
        <f>D43*$B$34</f>
        <v>28.39</v>
      </c>
      <c r="E44" s="107"/>
      <c r="F44" s="106">
        <f>F43*$B$34</f>
        <v>27.71</v>
      </c>
      <c r="H44" s="102"/>
    </row>
    <row r="45" spans="1:14" ht="19.5" customHeight="1" x14ac:dyDescent="0.3">
      <c r="A45" s="76" t="s">
        <v>78</v>
      </c>
      <c r="B45" s="108">
        <f>(B44/B43)*(B42/B41)*(B40/B39)*(B38/B37)*B36</f>
        <v>50</v>
      </c>
      <c r="C45" s="105" t="s">
        <v>79</v>
      </c>
      <c r="D45" s="109">
        <f>D44*$B$30/100</f>
        <v>24.585740000000001</v>
      </c>
      <c r="E45" s="110"/>
      <c r="F45" s="109">
        <f>F44*$B$30/100</f>
        <v>23.996859999999998</v>
      </c>
      <c r="H45" s="102"/>
    </row>
    <row r="46" spans="1:14" ht="19.5" customHeight="1" x14ac:dyDescent="0.3">
      <c r="A46" s="405" t="s">
        <v>80</v>
      </c>
      <c r="B46" s="406"/>
      <c r="C46" s="105" t="s">
        <v>81</v>
      </c>
      <c r="D46" s="111">
        <f>D45/$B$45</f>
        <v>0.49171480000000001</v>
      </c>
      <c r="E46" s="112"/>
      <c r="F46" s="113">
        <f>F45/$B$45</f>
        <v>0.47993719999999995</v>
      </c>
      <c r="H46" s="102"/>
    </row>
    <row r="47" spans="1:14" ht="27" customHeight="1" x14ac:dyDescent="0.4">
      <c r="A47" s="407"/>
      <c r="B47" s="408"/>
      <c r="C47" s="114" t="s">
        <v>82</v>
      </c>
      <c r="D47" s="115">
        <v>0.5</v>
      </c>
      <c r="E47" s="116"/>
      <c r="F47" s="112"/>
      <c r="H47" s="102"/>
    </row>
    <row r="48" spans="1:14" ht="18.75" x14ac:dyDescent="0.3">
      <c r="C48" s="117" t="s">
        <v>83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84</v>
      </c>
      <c r="D49" s="120">
        <f>D48/B34</f>
        <v>25</v>
      </c>
      <c r="F49" s="118"/>
      <c r="H49" s="102"/>
    </row>
    <row r="50" spans="1:12" ht="18.75" x14ac:dyDescent="0.3">
      <c r="C50" s="74" t="s">
        <v>85</v>
      </c>
      <c r="D50" s="121">
        <f>AVERAGE(E38:E41,G38:G41)</f>
        <v>121219768.90796766</v>
      </c>
      <c r="F50" s="122"/>
      <c r="H50" s="102"/>
    </row>
    <row r="51" spans="1:12" ht="18.75" x14ac:dyDescent="0.3">
      <c r="C51" s="76" t="s">
        <v>44</v>
      </c>
      <c r="D51" s="123">
        <f>STDEV(E38:E41,G38:G41)/D50</f>
        <v>4.4251460378198406E-3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7</v>
      </c>
      <c r="F52" s="122"/>
    </row>
    <row r="54" spans="1:12" ht="18.75" x14ac:dyDescent="0.3">
      <c r="A54" s="126" t="s">
        <v>1</v>
      </c>
      <c r="B54" s="127" t="s">
        <v>45</v>
      </c>
    </row>
    <row r="55" spans="1:12" ht="18.75" x14ac:dyDescent="0.3">
      <c r="A55" s="51" t="s">
        <v>46</v>
      </c>
      <c r="B55" s="128" t="str">
        <f>B21</f>
        <v>Each film coated tablet contains: Amoxicillin Trihydrate USP eq. to Amoxicillin 875mg
Diluted Potassium Clavulanate BP eq. to Clavulanic acid 125mg</v>
      </c>
    </row>
    <row r="56" spans="1:12" ht="26.25" customHeight="1" x14ac:dyDescent="0.4">
      <c r="A56" s="129" t="s">
        <v>47</v>
      </c>
      <c r="B56" s="130">
        <v>875</v>
      </c>
      <c r="C56" s="51" t="str">
        <f>B20</f>
        <v>Amoxicillin &amp; Clavulanic Acid</v>
      </c>
      <c r="H56" s="131"/>
    </row>
    <row r="57" spans="1:12" ht="18.75" x14ac:dyDescent="0.3">
      <c r="A57" s="128" t="s">
        <v>48</v>
      </c>
      <c r="B57" s="220">
        <f>Uniformity!C46</f>
        <v>1480.1815000000001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64</v>
      </c>
      <c r="F59" s="133" t="s">
        <v>65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1</v>
      </c>
      <c r="C60" s="422" t="s">
        <v>91</v>
      </c>
      <c r="D60" s="425">
        <v>108.33</v>
      </c>
      <c r="E60" s="134">
        <v>1</v>
      </c>
      <c r="F60" s="135">
        <v>152778347</v>
      </c>
      <c r="G60" s="221">
        <f>IF(ISBLANK(F60),"-",(F60/$D$50*$D$47*$B$68)*($B$57/$D$60))</f>
        <v>861.04249988566346</v>
      </c>
      <c r="H60" s="136">
        <f t="shared" ref="H60:H71" si="0">IF(ISBLANK(F60),"-",G60/$B$56)</f>
        <v>0.98404857129790113</v>
      </c>
      <c r="L60" s="64"/>
    </row>
    <row r="61" spans="1:12" s="3" customFormat="1" ht="26.25" customHeight="1" x14ac:dyDescent="0.4">
      <c r="A61" s="76" t="s">
        <v>92</v>
      </c>
      <c r="B61" s="77">
        <v>1</v>
      </c>
      <c r="C61" s="423"/>
      <c r="D61" s="426"/>
      <c r="E61" s="137">
        <v>2</v>
      </c>
      <c r="F61" s="89">
        <v>152643044</v>
      </c>
      <c r="G61" s="222">
        <f>IF(ISBLANK(F61),"-",(F61/$D$50*$D$47*$B$68)*($B$57/$D$60))</f>
        <v>860.27994658115597</v>
      </c>
      <c r="H61" s="138">
        <f t="shared" si="0"/>
        <v>0.98317708180703545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23"/>
      <c r="D62" s="426"/>
      <c r="E62" s="137">
        <v>3</v>
      </c>
      <c r="F62" s="139">
        <v>153861047</v>
      </c>
      <c r="G62" s="222">
        <f>IF(ISBLANK(F62),"-",(F62/$D$50*$D$47*$B$68)*($B$57/$D$60))</f>
        <v>867.14448182834155</v>
      </c>
      <c r="H62" s="138">
        <f t="shared" si="0"/>
        <v>0.99102226494667611</v>
      </c>
      <c r="L62" s="64"/>
    </row>
    <row r="63" spans="1:12" ht="27" customHeight="1" x14ac:dyDescent="0.4">
      <c r="A63" s="76" t="s">
        <v>94</v>
      </c>
      <c r="B63" s="77">
        <v>1</v>
      </c>
      <c r="C63" s="433"/>
      <c r="D63" s="427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22" t="s">
        <v>96</v>
      </c>
      <c r="D64" s="425">
        <v>121.28</v>
      </c>
      <c r="E64" s="134">
        <v>1</v>
      </c>
      <c r="F64" s="135">
        <v>170774436</v>
      </c>
      <c r="G64" s="223">
        <f>IF(ISBLANK(F64),"-",(F64/$D$50*$D$47*$B$68)*($B$57/$D$64))</f>
        <v>859.69657376985515</v>
      </c>
      <c r="H64" s="142">
        <f t="shared" si="0"/>
        <v>0.98251037002269159</v>
      </c>
    </row>
    <row r="65" spans="1:8" ht="26.25" customHeight="1" x14ac:dyDescent="0.4">
      <c r="A65" s="76" t="s">
        <v>97</v>
      </c>
      <c r="B65" s="77">
        <v>1</v>
      </c>
      <c r="C65" s="423"/>
      <c r="D65" s="426"/>
      <c r="E65" s="137">
        <v>2</v>
      </c>
      <c r="F65" s="89">
        <v>172417244</v>
      </c>
      <c r="G65" s="224">
        <f>IF(ISBLANK(F65),"-",(F65/$D$50*$D$47*$B$68)*($B$57/$D$64))</f>
        <v>867.96664300294401</v>
      </c>
      <c r="H65" s="143">
        <f t="shared" si="0"/>
        <v>0.99196187771765032</v>
      </c>
    </row>
    <row r="66" spans="1:8" ht="26.25" customHeight="1" x14ac:dyDescent="0.4">
      <c r="A66" s="76" t="s">
        <v>98</v>
      </c>
      <c r="B66" s="77">
        <v>1</v>
      </c>
      <c r="C66" s="423"/>
      <c r="D66" s="426"/>
      <c r="E66" s="137">
        <v>3</v>
      </c>
      <c r="F66" s="89">
        <v>170713881</v>
      </c>
      <c r="G66" s="224">
        <f>IF(ISBLANK(F66),"-",(F66/$D$50*$D$47*$B$68)*($B$57/$D$64))</f>
        <v>859.39173349490534</v>
      </c>
      <c r="H66" s="143">
        <f t="shared" si="0"/>
        <v>0.98216198113703468</v>
      </c>
    </row>
    <row r="67" spans="1:8" ht="27" customHeight="1" x14ac:dyDescent="0.4">
      <c r="A67" s="76" t="s">
        <v>99</v>
      </c>
      <c r="B67" s="77">
        <v>1</v>
      </c>
      <c r="C67" s="433"/>
      <c r="D67" s="427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100</v>
      </c>
      <c r="C68" s="422" t="s">
        <v>101</v>
      </c>
      <c r="D68" s="425">
        <v>129.22</v>
      </c>
      <c r="E68" s="134">
        <v>1</v>
      </c>
      <c r="F68" s="135">
        <v>180881206</v>
      </c>
      <c r="G68" s="223">
        <f>IF(ISBLANK(F68),"-",(F68/$D$50*$D$47*$B$68)*($B$57/$D$68))</f>
        <v>854.62429122022274</v>
      </c>
      <c r="H68" s="138">
        <f t="shared" si="0"/>
        <v>0.97671347568025457</v>
      </c>
    </row>
    <row r="69" spans="1:8" ht="27" customHeight="1" x14ac:dyDescent="0.4">
      <c r="A69" s="124" t="s">
        <v>102</v>
      </c>
      <c r="B69" s="146">
        <f>(D47*B68)/B56*B57</f>
        <v>84.581800000000001</v>
      </c>
      <c r="C69" s="423"/>
      <c r="D69" s="426"/>
      <c r="E69" s="137">
        <v>2</v>
      </c>
      <c r="F69" s="89">
        <v>180630984</v>
      </c>
      <c r="G69" s="224">
        <f>IF(ISBLANK(F69),"-",(F69/$D$50*$D$47*$B$68)*($B$57/$D$68))</f>
        <v>853.44204678407198</v>
      </c>
      <c r="H69" s="138">
        <f t="shared" si="0"/>
        <v>0.97536233918179649</v>
      </c>
    </row>
    <row r="70" spans="1:8" ht="26.25" customHeight="1" x14ac:dyDescent="0.4">
      <c r="A70" s="428" t="s">
        <v>80</v>
      </c>
      <c r="B70" s="429"/>
      <c r="C70" s="423"/>
      <c r="D70" s="426"/>
      <c r="E70" s="137">
        <v>3</v>
      </c>
      <c r="F70" s="89">
        <v>181228001</v>
      </c>
      <c r="G70" s="224">
        <f>IF(ISBLANK(F70),"-",(F70/$D$50*$D$47*$B$68)*($B$57/$D$68))</f>
        <v>856.26282204179256</v>
      </c>
      <c r="H70" s="138">
        <f t="shared" si="0"/>
        <v>0.97858608233347721</v>
      </c>
    </row>
    <row r="71" spans="1:8" ht="27" customHeight="1" x14ac:dyDescent="0.4">
      <c r="A71" s="430"/>
      <c r="B71" s="431"/>
      <c r="C71" s="424"/>
      <c r="D71" s="427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73</v>
      </c>
      <c r="G72" s="230">
        <f>AVERAGE(G60:G71)</f>
        <v>859.98344873432814</v>
      </c>
      <c r="H72" s="151">
        <f>AVERAGE(H60:H71)</f>
        <v>0.98283822712494617</v>
      </c>
    </row>
    <row r="73" spans="1:8" ht="26.25" customHeight="1" x14ac:dyDescent="0.4">
      <c r="C73" s="148"/>
      <c r="D73" s="148"/>
      <c r="E73" s="148"/>
      <c r="F73" s="152" t="s">
        <v>44</v>
      </c>
      <c r="G73" s="226">
        <f>STDEV(G60:G71)/G72</f>
        <v>5.8431687136189332E-3</v>
      </c>
      <c r="H73" s="226">
        <f>STDEV(H60:H71)/H72</f>
        <v>5.8431687136189575E-3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09" t="str">
        <f>B20</f>
        <v>Amoxicillin &amp; Clavulanic Acid</v>
      </c>
      <c r="D76" s="409"/>
      <c r="E76" s="157" t="s">
        <v>105</v>
      </c>
      <c r="F76" s="157"/>
      <c r="G76" s="158">
        <f>H72</f>
        <v>0.98283822712494617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32" t="str">
        <f>B26</f>
        <v>AMOXICILLIN</v>
      </c>
      <c r="C79" s="432"/>
      <c r="E79" s="2">
        <v>125</v>
      </c>
      <c r="F79" s="2">
        <v>1480</v>
      </c>
    </row>
    <row r="80" spans="1:8" ht="26.25" customHeight="1" x14ac:dyDescent="0.4">
      <c r="A80" s="61" t="s">
        <v>50</v>
      </c>
      <c r="B80" s="432">
        <f>B27</f>
        <v>0</v>
      </c>
      <c r="C80" s="432"/>
      <c r="E80" s="2">
        <v>50</v>
      </c>
      <c r="F80" s="2">
        <f>50*1480/125</f>
        <v>592</v>
      </c>
    </row>
    <row r="81" spans="1:12" ht="27" customHeight="1" x14ac:dyDescent="0.4">
      <c r="A81" s="61" t="s">
        <v>6</v>
      </c>
      <c r="B81" s="160">
        <f>B28</f>
        <v>86.6</v>
      </c>
    </row>
    <row r="82" spans="1:12" s="3" customFormat="1" ht="27" customHeight="1" x14ac:dyDescent="0.4">
      <c r="A82" s="61" t="s">
        <v>51</v>
      </c>
      <c r="B82" s="63">
        <v>0</v>
      </c>
      <c r="C82" s="411" t="s">
        <v>52</v>
      </c>
      <c r="D82" s="412"/>
      <c r="E82" s="412"/>
      <c r="F82" s="412"/>
      <c r="G82" s="413"/>
      <c r="I82" s="64"/>
      <c r="J82" s="64"/>
      <c r="K82" s="64"/>
      <c r="L82" s="64"/>
    </row>
    <row r="83" spans="1:12" s="3" customFormat="1" ht="19.5" customHeight="1" x14ac:dyDescent="0.3">
      <c r="A83" s="61" t="s">
        <v>53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54</v>
      </c>
      <c r="B84" s="68">
        <v>1</v>
      </c>
      <c r="C84" s="414" t="s">
        <v>108</v>
      </c>
      <c r="D84" s="415"/>
      <c r="E84" s="415"/>
      <c r="F84" s="415"/>
      <c r="G84" s="415"/>
      <c r="H84" s="416"/>
      <c r="I84" s="64"/>
      <c r="J84" s="64"/>
      <c r="K84" s="64"/>
      <c r="L84" s="64"/>
    </row>
    <row r="85" spans="1:12" s="3" customFormat="1" ht="27" customHeight="1" x14ac:dyDescent="0.4">
      <c r="A85" s="61" t="s">
        <v>56</v>
      </c>
      <c r="B85" s="68">
        <v>1</v>
      </c>
      <c r="C85" s="414" t="s">
        <v>109</v>
      </c>
      <c r="D85" s="415"/>
      <c r="E85" s="415"/>
      <c r="F85" s="415"/>
      <c r="G85" s="415"/>
      <c r="H85" s="41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58</v>
      </c>
      <c r="B87" s="73">
        <f>B84/B85</f>
        <v>1</v>
      </c>
      <c r="C87" s="51" t="s">
        <v>59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60</v>
      </c>
      <c r="B89" s="75">
        <v>20</v>
      </c>
      <c r="D89" s="161" t="s">
        <v>61</v>
      </c>
      <c r="E89" s="162"/>
      <c r="F89" s="417" t="s">
        <v>62</v>
      </c>
      <c r="G89" s="418"/>
    </row>
    <row r="90" spans="1:12" ht="27" customHeight="1" x14ac:dyDescent="0.4">
      <c r="A90" s="76" t="s">
        <v>63</v>
      </c>
      <c r="B90" s="77">
        <v>10</v>
      </c>
      <c r="C90" s="163" t="s">
        <v>64</v>
      </c>
      <c r="D90" s="79" t="s">
        <v>65</v>
      </c>
      <c r="E90" s="80" t="s">
        <v>66</v>
      </c>
      <c r="F90" s="79" t="s">
        <v>65</v>
      </c>
      <c r="G90" s="164" t="s">
        <v>66</v>
      </c>
      <c r="I90" s="82" t="s">
        <v>67</v>
      </c>
    </row>
    <row r="91" spans="1:12" ht="26.25" customHeight="1" x14ac:dyDescent="0.4">
      <c r="A91" s="76" t="s">
        <v>68</v>
      </c>
      <c r="B91" s="77">
        <v>25</v>
      </c>
      <c r="C91" s="165">
        <v>1</v>
      </c>
      <c r="D91" s="84">
        <v>115355158</v>
      </c>
      <c r="E91" s="85">
        <f>IF(ISBLANK(D91),"-",$D$101/$D$98*D91)</f>
        <v>242881551.91704005</v>
      </c>
      <c r="F91" s="84">
        <v>124256794</v>
      </c>
      <c r="G91" s="86">
        <f>IF(ISBLANK(F91),"-",$D$101/$F$98*F91)</f>
        <v>239687182.82280758</v>
      </c>
      <c r="I91" s="87"/>
    </row>
    <row r="92" spans="1:12" ht="26.25" customHeight="1" x14ac:dyDescent="0.4">
      <c r="A92" s="76" t="s">
        <v>69</v>
      </c>
      <c r="B92" s="77">
        <v>1</v>
      </c>
      <c r="C92" s="149">
        <v>2</v>
      </c>
      <c r="D92" s="89">
        <v>115834321</v>
      </c>
      <c r="E92" s="90">
        <f>IF(ISBLANK(D92),"-",$D$101/$D$98*D92)</f>
        <v>243890434.87536624</v>
      </c>
      <c r="F92" s="89">
        <v>125315042</v>
      </c>
      <c r="G92" s="91">
        <f>IF(ISBLANK(F92),"-",$D$101/$F$98*F92)</f>
        <v>241728507.67662498</v>
      </c>
      <c r="I92" s="419">
        <f>ABS((F96/D96*D95)-F95)/D95</f>
        <v>1.4037434373317297E-2</v>
      </c>
    </row>
    <row r="93" spans="1:12" ht="26.25" customHeight="1" x14ac:dyDescent="0.4">
      <c r="A93" s="76" t="s">
        <v>70</v>
      </c>
      <c r="B93" s="77">
        <v>1</v>
      </c>
      <c r="C93" s="149">
        <v>3</v>
      </c>
      <c r="D93" s="89">
        <v>116659611</v>
      </c>
      <c r="E93" s="90">
        <f>IF(ISBLANK(D93),"-",$D$101/$D$98*D93)</f>
        <v>245628092.03311217</v>
      </c>
      <c r="F93" s="89">
        <v>125230496</v>
      </c>
      <c r="G93" s="91">
        <f>IF(ISBLANK(F93),"-",$D$101/$F$98*F93)</f>
        <v>241565421.28185663</v>
      </c>
      <c r="I93" s="419"/>
    </row>
    <row r="94" spans="1:12" ht="27" customHeight="1" x14ac:dyDescent="0.4">
      <c r="A94" s="76" t="s">
        <v>71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72</v>
      </c>
      <c r="B95" s="77">
        <v>1</v>
      </c>
      <c r="C95" s="168" t="s">
        <v>73</v>
      </c>
      <c r="D95" s="169">
        <f>AVERAGE(D91:D94)</f>
        <v>115949696.66666667</v>
      </c>
      <c r="E95" s="100">
        <f>AVERAGE(E91:E94)</f>
        <v>244133359.60850617</v>
      </c>
      <c r="F95" s="170">
        <f>AVERAGE(F91:F94)</f>
        <v>124934110.66666667</v>
      </c>
      <c r="G95" s="171">
        <f>AVERAGE(G91:G94)</f>
        <v>240993703.9270964</v>
      </c>
    </row>
    <row r="96" spans="1:12" ht="26.25" customHeight="1" x14ac:dyDescent="0.4">
      <c r="A96" s="76" t="s">
        <v>74</v>
      </c>
      <c r="B96" s="62">
        <v>1</v>
      </c>
      <c r="C96" s="172" t="s">
        <v>110</v>
      </c>
      <c r="D96" s="173">
        <v>26.66</v>
      </c>
      <c r="E96" s="92"/>
      <c r="F96" s="104">
        <v>29.1</v>
      </c>
    </row>
    <row r="97" spans="1:10" ht="26.25" customHeight="1" x14ac:dyDescent="0.4">
      <c r="A97" s="76" t="s">
        <v>76</v>
      </c>
      <c r="B97" s="62">
        <v>1</v>
      </c>
      <c r="C97" s="174" t="s">
        <v>111</v>
      </c>
      <c r="D97" s="175">
        <f>D96*$B$87</f>
        <v>26.66</v>
      </c>
      <c r="E97" s="107"/>
      <c r="F97" s="106">
        <f>F96*$B$87</f>
        <v>29.1</v>
      </c>
    </row>
    <row r="98" spans="1:10" ht="19.5" customHeight="1" x14ac:dyDescent="0.3">
      <c r="A98" s="76" t="s">
        <v>78</v>
      </c>
      <c r="B98" s="176">
        <f>(B97/B96)*(B95/B94)*(B93/B92)*(B91/B90)*B89</f>
        <v>50</v>
      </c>
      <c r="C98" s="174" t="s">
        <v>112</v>
      </c>
      <c r="D98" s="177">
        <f>D97*$B$83/100</f>
        <v>23.08756</v>
      </c>
      <c r="E98" s="110"/>
      <c r="F98" s="109">
        <f>F97*$B$83/100</f>
        <v>25.200599999999998</v>
      </c>
    </row>
    <row r="99" spans="1:10" ht="19.5" customHeight="1" x14ac:dyDescent="0.3">
      <c r="A99" s="405" t="s">
        <v>80</v>
      </c>
      <c r="B99" s="420"/>
      <c r="C99" s="174" t="s">
        <v>113</v>
      </c>
      <c r="D99" s="178">
        <f>D98/$B$98</f>
        <v>0.46175119999999997</v>
      </c>
      <c r="E99" s="110"/>
      <c r="F99" s="113">
        <f>F98/$B$98</f>
        <v>0.5040119999999999</v>
      </c>
      <c r="G99" s="179"/>
      <c r="H99" s="102"/>
    </row>
    <row r="100" spans="1:10" ht="19.5" customHeight="1" x14ac:dyDescent="0.3">
      <c r="A100" s="407"/>
      <c r="B100" s="421"/>
      <c r="C100" s="174" t="s">
        <v>82</v>
      </c>
      <c r="D100" s="180">
        <f>$B$56/$B$116</f>
        <v>0.97222222222222221</v>
      </c>
      <c r="F100" s="118"/>
      <c r="G100" s="181"/>
      <c r="H100" s="102"/>
    </row>
    <row r="101" spans="1:10" ht="18.75" x14ac:dyDescent="0.3">
      <c r="C101" s="174" t="s">
        <v>83</v>
      </c>
      <c r="D101" s="175">
        <f>D100*$B$98</f>
        <v>48.611111111111107</v>
      </c>
      <c r="F101" s="118"/>
      <c r="G101" s="179"/>
      <c r="H101" s="102"/>
    </row>
    <row r="102" spans="1:10" ht="19.5" customHeight="1" x14ac:dyDescent="0.3">
      <c r="C102" s="182" t="s">
        <v>84</v>
      </c>
      <c r="D102" s="183">
        <f>D101/B34</f>
        <v>48.611111111111107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242563531.76780125</v>
      </c>
      <c r="F103" s="122"/>
      <c r="G103" s="187"/>
      <c r="H103" s="102"/>
      <c r="J103" s="188"/>
    </row>
    <row r="104" spans="1:10" ht="18.75" x14ac:dyDescent="0.3">
      <c r="C104" s="152" t="s">
        <v>44</v>
      </c>
      <c r="D104" s="189">
        <f>STDEV(E91:E94,G91:G94)/D103</f>
        <v>8.4930629424529776E-3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65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218440760</v>
      </c>
      <c r="E108" s="227">
        <f t="shared" ref="E108:E113" si="1">IF(ISBLANK(D108),"-",D108/$D$103*$D$100*$B$116)</f>
        <v>787.98186853153345</v>
      </c>
      <c r="F108" s="197">
        <f t="shared" ref="F108:F113" si="2">IF(ISBLANK(D108), "-", E108/$B$56)</f>
        <v>0.90055070689318106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210185684</v>
      </c>
      <c r="E109" s="228">
        <f t="shared" si="1"/>
        <v>758.20331341503493</v>
      </c>
      <c r="F109" s="198">
        <f t="shared" si="2"/>
        <v>0.86651807247432566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220759006</v>
      </c>
      <c r="E110" s="228">
        <f t="shared" si="1"/>
        <v>796.34448279269861</v>
      </c>
      <c r="F110" s="198">
        <f t="shared" si="2"/>
        <v>0.91010798033451268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211893791</v>
      </c>
      <c r="E111" s="228">
        <f t="shared" si="1"/>
        <v>764.36497182307107</v>
      </c>
      <c r="F111" s="198">
        <f t="shared" si="2"/>
        <v>0.87355996779779554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222015126</v>
      </c>
      <c r="E112" s="228">
        <f t="shared" si="1"/>
        <v>800.87568743005579</v>
      </c>
      <c r="F112" s="198">
        <f t="shared" si="2"/>
        <v>0.91528649992006372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224561117</v>
      </c>
      <c r="E113" s="229">
        <f t="shared" si="1"/>
        <v>810.05984676663957</v>
      </c>
      <c r="F113" s="201">
        <f t="shared" si="2"/>
        <v>0.9257826820190167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73</v>
      </c>
      <c r="E115" s="231">
        <f>AVERAGE(E108:E113)</f>
        <v>786.30502845983881</v>
      </c>
      <c r="F115" s="204">
        <f>AVERAGE(F108:F113)</f>
        <v>0.89863431823981588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44</v>
      </c>
      <c r="E116" s="206">
        <f>STDEV(E108:E113)/E115</f>
        <v>2.6379796816557478E-2</v>
      </c>
      <c r="F116" s="206">
        <f>STDEV(F108:F113)/F115</f>
        <v>2.6379796816557465E-2</v>
      </c>
      <c r="I116" s="50"/>
    </row>
    <row r="117" spans="1:10" ht="27" customHeight="1" x14ac:dyDescent="0.4">
      <c r="A117" s="405" t="s">
        <v>80</v>
      </c>
      <c r="B117" s="406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07"/>
      <c r="B118" s="408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09" t="str">
        <f>B20</f>
        <v>Amoxicillin &amp; Clavulanic Acid</v>
      </c>
      <c r="D120" s="409"/>
      <c r="E120" s="157" t="s">
        <v>121</v>
      </c>
      <c r="F120" s="157"/>
      <c r="G120" s="158">
        <f>F115</f>
        <v>0.89863431823981588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10" t="s">
        <v>23</v>
      </c>
      <c r="C122" s="410"/>
      <c r="E122" s="163" t="s">
        <v>24</v>
      </c>
      <c r="F122" s="212"/>
      <c r="G122" s="410" t="s">
        <v>25</v>
      </c>
      <c r="H122" s="410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5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33" customWidth="1"/>
    <col min="2" max="2" width="33.7109375" style="233" customWidth="1"/>
    <col min="3" max="3" width="42.28515625" style="233" customWidth="1"/>
    <col min="4" max="4" width="30.5703125" style="233" customWidth="1"/>
    <col min="5" max="5" width="39.85546875" style="233" customWidth="1"/>
    <col min="6" max="6" width="30.7109375" style="233" customWidth="1"/>
    <col min="7" max="7" width="39.85546875" style="233" customWidth="1"/>
    <col min="8" max="8" width="30" style="233" customWidth="1"/>
    <col min="9" max="9" width="30.28515625" style="233" hidden="1" customWidth="1"/>
    <col min="10" max="10" width="30.42578125" style="233" customWidth="1"/>
    <col min="11" max="11" width="21.28515625" style="233" customWidth="1"/>
    <col min="12" max="12" width="9.140625" style="233"/>
    <col min="13" max="16384" width="9.140625" style="234"/>
  </cols>
  <sheetData>
    <row r="1" spans="1:9" ht="18.75" customHeight="1" x14ac:dyDescent="0.25">
      <c r="A1" s="445" t="s">
        <v>49</v>
      </c>
      <c r="B1" s="445"/>
      <c r="C1" s="445"/>
      <c r="D1" s="445"/>
      <c r="E1" s="445"/>
      <c r="F1" s="445"/>
      <c r="G1" s="445"/>
      <c r="H1" s="445"/>
      <c r="I1" s="445"/>
    </row>
    <row r="2" spans="1:9" ht="18.75" customHeight="1" x14ac:dyDescent="0.25">
      <c r="A2" s="445"/>
      <c r="B2" s="445"/>
      <c r="C2" s="445"/>
      <c r="D2" s="445"/>
      <c r="E2" s="445"/>
      <c r="F2" s="445"/>
      <c r="G2" s="445"/>
      <c r="H2" s="445"/>
      <c r="I2" s="445"/>
    </row>
    <row r="3" spans="1:9" ht="18.75" customHeight="1" x14ac:dyDescent="0.25">
      <c r="A3" s="445"/>
      <c r="B3" s="445"/>
      <c r="C3" s="445"/>
      <c r="D3" s="445"/>
      <c r="E3" s="445"/>
      <c r="F3" s="445"/>
      <c r="G3" s="445"/>
      <c r="H3" s="445"/>
      <c r="I3" s="445"/>
    </row>
    <row r="4" spans="1:9" ht="18.75" customHeight="1" x14ac:dyDescent="0.25">
      <c r="A4" s="445"/>
      <c r="B4" s="445"/>
      <c r="C4" s="445"/>
      <c r="D4" s="445"/>
      <c r="E4" s="445"/>
      <c r="F4" s="445"/>
      <c r="G4" s="445"/>
      <c r="H4" s="445"/>
      <c r="I4" s="445"/>
    </row>
    <row r="5" spans="1:9" ht="18.75" customHeight="1" x14ac:dyDescent="0.25">
      <c r="A5" s="445"/>
      <c r="B5" s="445"/>
      <c r="C5" s="445"/>
      <c r="D5" s="445"/>
      <c r="E5" s="445"/>
      <c r="F5" s="445"/>
      <c r="G5" s="445"/>
      <c r="H5" s="445"/>
      <c r="I5" s="445"/>
    </row>
    <row r="6" spans="1:9" ht="18.75" customHeight="1" x14ac:dyDescent="0.25">
      <c r="A6" s="445"/>
      <c r="B6" s="445"/>
      <c r="C6" s="445"/>
      <c r="D6" s="445"/>
      <c r="E6" s="445"/>
      <c r="F6" s="445"/>
      <c r="G6" s="445"/>
      <c r="H6" s="445"/>
      <c r="I6" s="445"/>
    </row>
    <row r="7" spans="1:9" ht="18.75" customHeight="1" x14ac:dyDescent="0.25">
      <c r="A7" s="445"/>
      <c r="B7" s="445"/>
      <c r="C7" s="445"/>
      <c r="D7" s="445"/>
      <c r="E7" s="445"/>
      <c r="F7" s="445"/>
      <c r="G7" s="445"/>
      <c r="H7" s="445"/>
      <c r="I7" s="445"/>
    </row>
    <row r="8" spans="1:9" x14ac:dyDescent="0.25">
      <c r="A8" s="446" t="s">
        <v>42</v>
      </c>
      <c r="B8" s="446"/>
      <c r="C8" s="446"/>
      <c r="D8" s="446"/>
      <c r="E8" s="446"/>
      <c r="F8" s="446"/>
      <c r="G8" s="446"/>
      <c r="H8" s="446"/>
      <c r="I8" s="446"/>
    </row>
    <row r="9" spans="1:9" x14ac:dyDescent="0.25">
      <c r="A9" s="446"/>
      <c r="B9" s="446"/>
      <c r="C9" s="446"/>
      <c r="D9" s="446"/>
      <c r="E9" s="446"/>
      <c r="F9" s="446"/>
      <c r="G9" s="446"/>
      <c r="H9" s="446"/>
      <c r="I9" s="446"/>
    </row>
    <row r="10" spans="1:9" x14ac:dyDescent="0.25">
      <c r="A10" s="446"/>
      <c r="B10" s="446"/>
      <c r="C10" s="446"/>
      <c r="D10" s="446"/>
      <c r="E10" s="446"/>
      <c r="F10" s="446"/>
      <c r="G10" s="446"/>
      <c r="H10" s="446"/>
      <c r="I10" s="446"/>
    </row>
    <row r="11" spans="1:9" x14ac:dyDescent="0.25">
      <c r="A11" s="446"/>
      <c r="B11" s="446"/>
      <c r="C11" s="446"/>
      <c r="D11" s="446"/>
      <c r="E11" s="446"/>
      <c r="F11" s="446"/>
      <c r="G11" s="446"/>
      <c r="H11" s="446"/>
      <c r="I11" s="446"/>
    </row>
    <row r="12" spans="1:9" x14ac:dyDescent="0.25">
      <c r="A12" s="446"/>
      <c r="B12" s="446"/>
      <c r="C12" s="446"/>
      <c r="D12" s="446"/>
      <c r="E12" s="446"/>
      <c r="F12" s="446"/>
      <c r="G12" s="446"/>
      <c r="H12" s="446"/>
      <c r="I12" s="446"/>
    </row>
    <row r="13" spans="1:9" x14ac:dyDescent="0.25">
      <c r="A13" s="446"/>
      <c r="B13" s="446"/>
      <c r="C13" s="446"/>
      <c r="D13" s="446"/>
      <c r="E13" s="446"/>
      <c r="F13" s="446"/>
      <c r="G13" s="446"/>
      <c r="H13" s="446"/>
      <c r="I13" s="446"/>
    </row>
    <row r="14" spans="1:9" x14ac:dyDescent="0.25">
      <c r="A14" s="446"/>
      <c r="B14" s="446"/>
      <c r="C14" s="446"/>
      <c r="D14" s="446"/>
      <c r="E14" s="446"/>
      <c r="F14" s="446"/>
      <c r="G14" s="446"/>
      <c r="H14" s="446"/>
      <c r="I14" s="446"/>
    </row>
    <row r="15" spans="1:9" ht="19.5" customHeight="1" thickBot="1" x14ac:dyDescent="0.35">
      <c r="A15" s="235"/>
    </row>
    <row r="16" spans="1:9" ht="19.5" customHeight="1" thickBot="1" x14ac:dyDescent="0.35">
      <c r="A16" s="447" t="s">
        <v>28</v>
      </c>
      <c r="B16" s="448"/>
      <c r="C16" s="448"/>
      <c r="D16" s="448"/>
      <c r="E16" s="448"/>
      <c r="F16" s="448"/>
      <c r="G16" s="448"/>
      <c r="H16" s="449"/>
    </row>
    <row r="17" spans="1:14" ht="20.25" customHeight="1" x14ac:dyDescent="0.25">
      <c r="A17" s="450" t="s">
        <v>43</v>
      </c>
      <c r="B17" s="450"/>
      <c r="C17" s="450"/>
      <c r="D17" s="450"/>
      <c r="E17" s="450"/>
      <c r="F17" s="450"/>
      <c r="G17" s="450"/>
      <c r="H17" s="450"/>
    </row>
    <row r="18" spans="1:14" ht="26.25" customHeight="1" x14ac:dyDescent="0.4">
      <c r="A18" s="236" t="s">
        <v>30</v>
      </c>
      <c r="B18" s="451" t="s">
        <v>5</v>
      </c>
      <c r="C18" s="451"/>
      <c r="D18" s="237"/>
      <c r="E18" s="238"/>
      <c r="F18" s="239"/>
      <c r="G18" s="239"/>
      <c r="H18" s="239"/>
    </row>
    <row r="19" spans="1:14" ht="26.25" customHeight="1" x14ac:dyDescent="0.4">
      <c r="A19" s="236" t="s">
        <v>31</v>
      </c>
      <c r="B19" s="240" t="s">
        <v>7</v>
      </c>
      <c r="C19" s="239">
        <v>29</v>
      </c>
      <c r="D19" s="239"/>
      <c r="E19" s="239"/>
      <c r="F19" s="239"/>
      <c r="G19" s="239"/>
      <c r="H19" s="239"/>
    </row>
    <row r="20" spans="1:14" ht="26.25" customHeight="1" x14ac:dyDescent="0.4">
      <c r="A20" s="236" t="s">
        <v>32</v>
      </c>
      <c r="B20" s="452" t="s">
        <v>9</v>
      </c>
      <c r="C20" s="452"/>
      <c r="D20" s="239"/>
      <c r="E20" s="239"/>
      <c r="F20" s="239"/>
      <c r="G20" s="239"/>
      <c r="H20" s="239"/>
    </row>
    <row r="21" spans="1:14" ht="26.25" customHeight="1" x14ac:dyDescent="0.4">
      <c r="A21" s="236" t="s">
        <v>33</v>
      </c>
      <c r="B21" s="452" t="s">
        <v>11</v>
      </c>
      <c r="C21" s="452"/>
      <c r="D21" s="452"/>
      <c r="E21" s="452"/>
      <c r="F21" s="452"/>
      <c r="G21" s="452"/>
      <c r="H21" s="452"/>
      <c r="I21" s="241"/>
    </row>
    <row r="22" spans="1:14" ht="26.25" customHeight="1" x14ac:dyDescent="0.4">
      <c r="A22" s="236" t="s">
        <v>34</v>
      </c>
      <c r="B22" s="242"/>
      <c r="C22" s="239"/>
      <c r="D22" s="239"/>
      <c r="E22" s="239"/>
      <c r="F22" s="239"/>
      <c r="G22" s="239"/>
      <c r="H22" s="239"/>
    </row>
    <row r="23" spans="1:14" ht="26.25" customHeight="1" x14ac:dyDescent="0.4">
      <c r="A23" s="236" t="s">
        <v>35</v>
      </c>
      <c r="B23" s="242"/>
      <c r="C23" s="239"/>
      <c r="D23" s="239"/>
      <c r="E23" s="239"/>
      <c r="F23" s="239"/>
      <c r="G23" s="239"/>
      <c r="H23" s="239"/>
    </row>
    <row r="24" spans="1:14" ht="18.75" x14ac:dyDescent="0.3">
      <c r="A24" s="236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451" t="s">
        <v>123</v>
      </c>
      <c r="C26" s="451"/>
    </row>
    <row r="27" spans="1:14" ht="26.25" customHeight="1" x14ac:dyDescent="0.4">
      <c r="A27" s="246" t="s">
        <v>50</v>
      </c>
      <c r="B27" s="453"/>
      <c r="C27" s="453"/>
    </row>
    <row r="28" spans="1:14" ht="27" customHeight="1" thickBot="1" x14ac:dyDescent="0.45">
      <c r="A28" s="246" t="s">
        <v>6</v>
      </c>
      <c r="B28" s="247">
        <v>96.4</v>
      </c>
    </row>
    <row r="29" spans="1:14" s="249" customFormat="1" ht="27" customHeight="1" thickBot="1" x14ac:dyDescent="0.45">
      <c r="A29" s="246" t="s">
        <v>51</v>
      </c>
      <c r="B29" s="248"/>
      <c r="C29" s="454" t="s">
        <v>52</v>
      </c>
      <c r="D29" s="455"/>
      <c r="E29" s="455"/>
      <c r="F29" s="455"/>
      <c r="G29" s="456"/>
      <c r="I29" s="250"/>
      <c r="J29" s="250"/>
      <c r="K29" s="250"/>
      <c r="L29" s="250"/>
    </row>
    <row r="30" spans="1:14" s="249" customFormat="1" ht="19.5" customHeight="1" thickBot="1" x14ac:dyDescent="0.35">
      <c r="A30" s="246" t="s">
        <v>53</v>
      </c>
      <c r="B30" s="251">
        <f>B28-B29</f>
        <v>96.4</v>
      </c>
      <c r="C30" s="252"/>
      <c r="D30" s="252"/>
      <c r="E30" s="252"/>
      <c r="F30" s="252"/>
      <c r="G30" s="253"/>
      <c r="I30" s="250"/>
      <c r="J30" s="250"/>
      <c r="K30" s="250"/>
      <c r="L30" s="250"/>
    </row>
    <row r="31" spans="1:14" s="249" customFormat="1" ht="27" customHeight="1" thickBot="1" x14ac:dyDescent="0.45">
      <c r="A31" s="246" t="s">
        <v>54</v>
      </c>
      <c r="B31" s="254">
        <v>1</v>
      </c>
      <c r="C31" s="442" t="s">
        <v>55</v>
      </c>
      <c r="D31" s="443"/>
      <c r="E31" s="443"/>
      <c r="F31" s="443"/>
      <c r="G31" s="443"/>
      <c r="H31" s="444"/>
      <c r="I31" s="250"/>
      <c r="J31" s="250"/>
      <c r="K31" s="250"/>
      <c r="L31" s="250"/>
    </row>
    <row r="32" spans="1:14" s="249" customFormat="1" ht="27" customHeight="1" thickBot="1" x14ac:dyDescent="0.45">
      <c r="A32" s="246" t="s">
        <v>56</v>
      </c>
      <c r="B32" s="254">
        <v>1</v>
      </c>
      <c r="C32" s="442" t="s">
        <v>57</v>
      </c>
      <c r="D32" s="443"/>
      <c r="E32" s="443"/>
      <c r="F32" s="443"/>
      <c r="G32" s="443"/>
      <c r="H32" s="444"/>
      <c r="I32" s="250"/>
      <c r="J32" s="250"/>
      <c r="K32" s="250"/>
      <c r="L32" s="255"/>
      <c r="M32" s="255"/>
      <c r="N32" s="256"/>
    </row>
    <row r="33" spans="1:14" s="249" customFormat="1" ht="17.25" customHeight="1" x14ac:dyDescent="0.3">
      <c r="A33" s="246"/>
      <c r="B33" s="257"/>
      <c r="C33" s="258"/>
      <c r="D33" s="258"/>
      <c r="E33" s="258"/>
      <c r="F33" s="258"/>
      <c r="G33" s="258"/>
      <c r="H33" s="258"/>
      <c r="I33" s="250"/>
      <c r="J33" s="250"/>
      <c r="K33" s="250"/>
      <c r="L33" s="255"/>
      <c r="M33" s="255"/>
      <c r="N33" s="256"/>
    </row>
    <row r="34" spans="1:14" s="249" customFormat="1" ht="18.75" x14ac:dyDescent="0.3">
      <c r="A34" s="246" t="s">
        <v>58</v>
      </c>
      <c r="B34" s="259">
        <f>B31/B32</f>
        <v>1</v>
      </c>
      <c r="C34" s="235" t="s">
        <v>59</v>
      </c>
      <c r="D34" s="235"/>
      <c r="E34" s="235"/>
      <c r="F34" s="235"/>
      <c r="G34" s="235"/>
      <c r="I34" s="250"/>
      <c r="J34" s="250"/>
      <c r="K34" s="250"/>
      <c r="L34" s="255"/>
      <c r="M34" s="255"/>
      <c r="N34" s="256"/>
    </row>
    <row r="35" spans="1:14" s="249" customFormat="1" ht="19.5" customHeight="1" thickBot="1" x14ac:dyDescent="0.35">
      <c r="A35" s="246"/>
      <c r="B35" s="251"/>
      <c r="G35" s="235"/>
      <c r="I35" s="250"/>
      <c r="J35" s="250"/>
      <c r="K35" s="250"/>
      <c r="L35" s="255"/>
      <c r="M35" s="255"/>
      <c r="N35" s="256"/>
    </row>
    <row r="36" spans="1:14" s="249" customFormat="1" ht="27" customHeight="1" thickBot="1" x14ac:dyDescent="0.45">
      <c r="A36" s="260" t="s">
        <v>60</v>
      </c>
      <c r="B36" s="261">
        <v>20</v>
      </c>
      <c r="C36" s="235"/>
      <c r="D36" s="457" t="s">
        <v>61</v>
      </c>
      <c r="E36" s="458"/>
      <c r="F36" s="457" t="s">
        <v>62</v>
      </c>
      <c r="G36" s="459"/>
      <c r="J36" s="250"/>
      <c r="K36" s="250"/>
      <c r="L36" s="255"/>
      <c r="M36" s="255"/>
      <c r="N36" s="256"/>
    </row>
    <row r="37" spans="1:14" s="249" customFormat="1" ht="27" customHeight="1" thickBot="1" x14ac:dyDescent="0.45">
      <c r="A37" s="262" t="s">
        <v>63</v>
      </c>
      <c r="B37" s="263">
        <v>2</v>
      </c>
      <c r="C37" s="264" t="s">
        <v>64</v>
      </c>
      <c r="D37" s="265" t="s">
        <v>65</v>
      </c>
      <c r="E37" s="266" t="s">
        <v>66</v>
      </c>
      <c r="F37" s="265" t="s">
        <v>65</v>
      </c>
      <c r="G37" s="267" t="s">
        <v>66</v>
      </c>
      <c r="I37" s="268" t="s">
        <v>67</v>
      </c>
      <c r="J37" s="250"/>
      <c r="K37" s="250"/>
      <c r="L37" s="255"/>
      <c r="M37" s="255"/>
      <c r="N37" s="256"/>
    </row>
    <row r="38" spans="1:14" s="249" customFormat="1" ht="26.25" customHeight="1" x14ac:dyDescent="0.4">
      <c r="A38" s="262" t="s">
        <v>68</v>
      </c>
      <c r="B38" s="263">
        <v>25</v>
      </c>
      <c r="C38" s="269">
        <v>1</v>
      </c>
      <c r="D38" s="270">
        <v>22825936</v>
      </c>
      <c r="E38" s="271">
        <f>IF(ISBLANK(D38),"-",$D$48/$D$45*D38)</f>
        <v>20746223.872493893</v>
      </c>
      <c r="F38" s="270">
        <v>24678505</v>
      </c>
      <c r="G38" s="272">
        <f>IF(ISBLANK(F38),"-",$D$48/$F$45*F38)</f>
        <v>20975250.237267483</v>
      </c>
      <c r="I38" s="273"/>
      <c r="J38" s="250"/>
      <c r="K38" s="250"/>
      <c r="L38" s="255"/>
      <c r="M38" s="255"/>
      <c r="N38" s="256"/>
    </row>
    <row r="39" spans="1:14" s="249" customFormat="1" ht="26.25" customHeight="1" x14ac:dyDescent="0.4">
      <c r="A39" s="262" t="s">
        <v>69</v>
      </c>
      <c r="B39" s="263">
        <v>1</v>
      </c>
      <c r="C39" s="274">
        <v>2</v>
      </c>
      <c r="D39" s="275">
        <v>22998818</v>
      </c>
      <c r="E39" s="276">
        <f>IF(ISBLANK(D39),"-",$D$48/$D$45*D39)</f>
        <v>20903354.282196458</v>
      </c>
      <c r="F39" s="275">
        <v>24672128</v>
      </c>
      <c r="G39" s="277">
        <f>IF(ISBLANK(F39),"-",$D$48/$F$45*F39)</f>
        <v>20969830.169448826</v>
      </c>
      <c r="I39" s="460">
        <f>ABS((F43/D43*D42)-F42)/D42</f>
        <v>5.1922300691160913E-3</v>
      </c>
      <c r="J39" s="250"/>
      <c r="K39" s="250"/>
      <c r="L39" s="255"/>
      <c r="M39" s="255"/>
      <c r="N39" s="256"/>
    </row>
    <row r="40" spans="1:14" ht="26.25" customHeight="1" x14ac:dyDescent="0.4">
      <c r="A40" s="262" t="s">
        <v>70</v>
      </c>
      <c r="B40" s="263">
        <v>1</v>
      </c>
      <c r="C40" s="274">
        <v>3</v>
      </c>
      <c r="D40" s="275">
        <v>23026315</v>
      </c>
      <c r="E40" s="276">
        <f>IF(ISBLANK(D40),"-",$D$48/$D$45*D40)</f>
        <v>20928345.981017567</v>
      </c>
      <c r="F40" s="275">
        <v>24633136</v>
      </c>
      <c r="G40" s="277">
        <f>IF(ISBLANK(F40),"-",$D$48/$F$45*F40)</f>
        <v>20936689.306286674</v>
      </c>
      <c r="I40" s="460"/>
      <c r="L40" s="255"/>
      <c r="M40" s="255"/>
      <c r="N40" s="235"/>
    </row>
    <row r="41" spans="1:14" ht="27" customHeight="1" thickBot="1" x14ac:dyDescent="0.45">
      <c r="A41" s="262" t="s">
        <v>71</v>
      </c>
      <c r="B41" s="263">
        <v>1</v>
      </c>
      <c r="C41" s="278">
        <v>4</v>
      </c>
      <c r="D41" s="279"/>
      <c r="E41" s="280" t="str">
        <f>IF(ISBLANK(D41),"-",$D$48/$D$45*D41)</f>
        <v>-</v>
      </c>
      <c r="F41" s="279"/>
      <c r="G41" s="281" t="str">
        <f>IF(ISBLANK(F41),"-",$D$48/$F$45*F41)</f>
        <v>-</v>
      </c>
      <c r="I41" s="282"/>
      <c r="L41" s="255"/>
      <c r="M41" s="255"/>
      <c r="N41" s="235"/>
    </row>
    <row r="42" spans="1:14" ht="27" customHeight="1" thickBot="1" x14ac:dyDescent="0.45">
      <c r="A42" s="262" t="s">
        <v>72</v>
      </c>
      <c r="B42" s="263">
        <v>1</v>
      </c>
      <c r="C42" s="283" t="s">
        <v>73</v>
      </c>
      <c r="D42" s="284">
        <f>AVERAGE(D38:D41)</f>
        <v>22950356.333333332</v>
      </c>
      <c r="E42" s="285">
        <f>AVERAGE(E38:E41)</f>
        <v>20859308.045235973</v>
      </c>
      <c r="F42" s="284">
        <f>AVERAGE(F38:F41)</f>
        <v>24661256.333333332</v>
      </c>
      <c r="G42" s="286">
        <f>AVERAGE(G38:G41)</f>
        <v>20960589.904334325</v>
      </c>
      <c r="H42" s="287"/>
    </row>
    <row r="43" spans="1:14" ht="26.25" customHeight="1" x14ac:dyDescent="0.4">
      <c r="A43" s="262" t="s">
        <v>74</v>
      </c>
      <c r="B43" s="263">
        <v>1</v>
      </c>
      <c r="C43" s="288" t="s">
        <v>75</v>
      </c>
      <c r="D43" s="289">
        <v>20.329999999999998</v>
      </c>
      <c r="E43" s="235"/>
      <c r="F43" s="289">
        <v>21.74</v>
      </c>
      <c r="H43" s="287"/>
    </row>
    <row r="44" spans="1:14" ht="26.25" customHeight="1" x14ac:dyDescent="0.4">
      <c r="A44" s="262" t="s">
        <v>76</v>
      </c>
      <c r="B44" s="263">
        <v>1</v>
      </c>
      <c r="C44" s="290" t="s">
        <v>77</v>
      </c>
      <c r="D44" s="291">
        <f>D43*$B$34</f>
        <v>20.329999999999998</v>
      </c>
      <c r="E44" s="292"/>
      <c r="F44" s="291">
        <f>F43*$B$34</f>
        <v>21.74</v>
      </c>
      <c r="H44" s="287"/>
    </row>
    <row r="45" spans="1:14" ht="19.5" customHeight="1" thickBot="1" x14ac:dyDescent="0.35">
      <c r="A45" s="262" t="s">
        <v>78</v>
      </c>
      <c r="B45" s="274">
        <f>(B44/B43)*(B42/B41)*(B40/B39)*(B38/B37)*B36</f>
        <v>250</v>
      </c>
      <c r="C45" s="290" t="s">
        <v>79</v>
      </c>
      <c r="D45" s="293">
        <f>D44*$B$30/100</f>
        <v>19.598119999999998</v>
      </c>
      <c r="E45" s="294"/>
      <c r="F45" s="293">
        <f>F44*$B$30/100</f>
        <v>20.957359999999998</v>
      </c>
      <c r="H45" s="287"/>
    </row>
    <row r="46" spans="1:14" ht="19.5" customHeight="1" thickBot="1" x14ac:dyDescent="0.35">
      <c r="A46" s="461" t="s">
        <v>80</v>
      </c>
      <c r="B46" s="462"/>
      <c r="C46" s="290" t="s">
        <v>81</v>
      </c>
      <c r="D46" s="295">
        <f>D45/$B$45</f>
        <v>7.8392479999999987E-2</v>
      </c>
      <c r="E46" s="296"/>
      <c r="F46" s="297">
        <f>F45/$B$45</f>
        <v>8.3829439999999991E-2</v>
      </c>
      <c r="H46" s="287"/>
    </row>
    <row r="47" spans="1:14" ht="27" customHeight="1" thickBot="1" x14ac:dyDescent="0.45">
      <c r="A47" s="463"/>
      <c r="B47" s="464"/>
      <c r="C47" s="298" t="s">
        <v>82</v>
      </c>
      <c r="D47" s="299">
        <v>7.1249999999999994E-2</v>
      </c>
      <c r="E47" s="300"/>
      <c r="F47" s="296"/>
      <c r="H47" s="287"/>
    </row>
    <row r="48" spans="1:14" ht="18.75" x14ac:dyDescent="0.3">
      <c r="C48" s="301" t="s">
        <v>83</v>
      </c>
      <c r="D48" s="293">
        <f>D47*$B$45</f>
        <v>17.8125</v>
      </c>
      <c r="F48" s="302"/>
      <c r="H48" s="287"/>
    </row>
    <row r="49" spans="1:12" ht="19.5" customHeight="1" thickBot="1" x14ac:dyDescent="0.35">
      <c r="C49" s="303" t="s">
        <v>84</v>
      </c>
      <c r="D49" s="304">
        <f>D48/B34</f>
        <v>17.8125</v>
      </c>
      <c r="F49" s="302"/>
      <c r="H49" s="287"/>
    </row>
    <row r="50" spans="1:12" ht="18.75" x14ac:dyDescent="0.3">
      <c r="C50" s="260" t="s">
        <v>85</v>
      </c>
      <c r="D50" s="305">
        <f>AVERAGE(E38:E41,G38:G41)</f>
        <v>20909948.974785153</v>
      </c>
      <c r="F50" s="306"/>
      <c r="H50" s="287"/>
    </row>
    <row r="51" spans="1:12" ht="18.75" x14ac:dyDescent="0.3">
      <c r="C51" s="262" t="s">
        <v>44</v>
      </c>
      <c r="D51" s="307">
        <f>STDEV(E38:E41,G38:G41)/D50</f>
        <v>4.0440610396602836E-3</v>
      </c>
      <c r="F51" s="306"/>
      <c r="H51" s="287"/>
    </row>
    <row r="52" spans="1:12" ht="19.5" customHeight="1" thickBot="1" x14ac:dyDescent="0.35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45</v>
      </c>
    </row>
    <row r="55" spans="1:12" ht="18.75" x14ac:dyDescent="0.3">
      <c r="A55" s="235" t="s">
        <v>46</v>
      </c>
      <c r="B55" s="312" t="str">
        <f>B21</f>
        <v>Each film coated tablet contains: Amoxicillin Trihydrate USP eq. to Amoxicillin 875mg
Diluted Potassium Clavulanate BP eq. to Clavulanic acid 125mg</v>
      </c>
    </row>
    <row r="56" spans="1:12" ht="26.25" customHeight="1" x14ac:dyDescent="0.4">
      <c r="A56" s="312" t="s">
        <v>47</v>
      </c>
      <c r="B56" s="313">
        <v>125</v>
      </c>
      <c r="C56" s="235" t="str">
        <f>B20</f>
        <v>Amoxicillin &amp; Clavulanic Acid</v>
      </c>
      <c r="H56" s="292"/>
    </row>
    <row r="57" spans="1:12" ht="18.75" x14ac:dyDescent="0.3">
      <c r="A57" s="312" t="s">
        <v>48</v>
      </c>
      <c r="B57" s="314">
        <f>Uniformity!C46</f>
        <v>1480.1815000000001</v>
      </c>
      <c r="H57" s="292"/>
    </row>
    <row r="58" spans="1:12" ht="19.5" customHeight="1" thickBot="1" x14ac:dyDescent="0.35">
      <c r="H58" s="292"/>
    </row>
    <row r="59" spans="1:12" s="249" customFormat="1" ht="27" customHeight="1" thickBot="1" x14ac:dyDescent="0.45">
      <c r="A59" s="260" t="s">
        <v>86</v>
      </c>
      <c r="B59" s="261">
        <v>100</v>
      </c>
      <c r="C59" s="235"/>
      <c r="D59" s="315" t="s">
        <v>87</v>
      </c>
      <c r="E59" s="316" t="s">
        <v>64</v>
      </c>
      <c r="F59" s="316" t="s">
        <v>65</v>
      </c>
      <c r="G59" s="316" t="s">
        <v>88</v>
      </c>
      <c r="H59" s="264" t="s">
        <v>89</v>
      </c>
      <c r="L59" s="250"/>
    </row>
    <row r="60" spans="1:12" s="249" customFormat="1" ht="26.25" customHeight="1" thickBot="1" x14ac:dyDescent="0.45">
      <c r="A60" s="262" t="s">
        <v>90</v>
      </c>
      <c r="B60" s="263">
        <v>1</v>
      </c>
      <c r="C60" s="465" t="s">
        <v>91</v>
      </c>
      <c r="D60" s="468">
        <v>108.33</v>
      </c>
      <c r="E60" s="317">
        <v>1</v>
      </c>
      <c r="F60" s="318">
        <v>27611551</v>
      </c>
      <c r="G60" s="319">
        <f>IF(ISBLANK(F60),"-",(F60/$D$50*$D$47*$B$68)*($B$57/$D$60))</f>
        <v>128.5549864631993</v>
      </c>
      <c r="H60" s="320">
        <f t="shared" ref="H60:H71" si="0">IF(ISBLANK(F60),"-",G60/$B$56)</f>
        <v>1.0284398917055944</v>
      </c>
      <c r="L60" s="250"/>
    </row>
    <row r="61" spans="1:12" s="249" customFormat="1" ht="26.25" customHeight="1" thickBot="1" x14ac:dyDescent="0.45">
      <c r="A61" s="262" t="s">
        <v>92</v>
      </c>
      <c r="B61" s="263">
        <v>1</v>
      </c>
      <c r="C61" s="466"/>
      <c r="D61" s="469"/>
      <c r="E61" s="321">
        <v>2</v>
      </c>
      <c r="F61" s="275">
        <v>27628596</v>
      </c>
      <c r="G61" s="322">
        <f>IF(ISBLANK(F61),"-",(F61/$D$50*$D$47*$B$68)*($B$57/$D$60))</f>
        <v>128.63434527010821</v>
      </c>
      <c r="H61" s="320">
        <f t="shared" si="0"/>
        <v>1.0290747621608658</v>
      </c>
      <c r="L61" s="250"/>
    </row>
    <row r="62" spans="1:12" s="249" customFormat="1" ht="26.25" customHeight="1" thickBot="1" x14ac:dyDescent="0.45">
      <c r="A62" s="262" t="s">
        <v>93</v>
      </c>
      <c r="B62" s="263">
        <v>1</v>
      </c>
      <c r="C62" s="466"/>
      <c r="D62" s="469"/>
      <c r="E62" s="321">
        <v>3</v>
      </c>
      <c r="F62" s="323">
        <v>27730012</v>
      </c>
      <c r="G62" s="322">
        <f>IF(ISBLANK(F62),"-",(F62/$D$50*$D$47*$B$68)*($B$57/$D$60))</f>
        <v>129.10652202349496</v>
      </c>
      <c r="H62" s="320">
        <f t="shared" si="0"/>
        <v>1.0328521761879597</v>
      </c>
      <c r="L62" s="250"/>
    </row>
    <row r="63" spans="1:12" ht="27" customHeight="1" thickBot="1" x14ac:dyDescent="0.45">
      <c r="A63" s="262" t="s">
        <v>94</v>
      </c>
      <c r="B63" s="263">
        <v>1</v>
      </c>
      <c r="C63" s="467"/>
      <c r="D63" s="470"/>
      <c r="E63" s="324">
        <v>4</v>
      </c>
      <c r="F63" s="325"/>
      <c r="G63" s="322" t="str">
        <f>IF(ISBLANK(F63),"-",(F63/$D$50*$D$47*$B$68)*($B$57/$D$60))</f>
        <v>-</v>
      </c>
      <c r="H63" s="320" t="str">
        <f t="shared" si="0"/>
        <v>-</v>
      </c>
    </row>
    <row r="64" spans="1:12" ht="26.25" customHeight="1" thickBot="1" x14ac:dyDescent="0.45">
      <c r="A64" s="262" t="s">
        <v>95</v>
      </c>
      <c r="B64" s="263">
        <v>1</v>
      </c>
      <c r="C64" s="465" t="s">
        <v>96</v>
      </c>
      <c r="D64" s="468">
        <v>121.28</v>
      </c>
      <c r="E64" s="317">
        <v>1</v>
      </c>
      <c r="F64" s="318">
        <v>30941626</v>
      </c>
      <c r="G64" s="326">
        <f>IF(ISBLANK(F64),"-",(F64/$D$50*$D$47*$B$68)*($B$57/$D$64))</f>
        <v>128.6769657806517</v>
      </c>
      <c r="H64" s="320">
        <f t="shared" si="0"/>
        <v>1.0294157262452135</v>
      </c>
    </row>
    <row r="65" spans="1:8" ht="26.25" customHeight="1" thickBot="1" x14ac:dyDescent="0.45">
      <c r="A65" s="262" t="s">
        <v>97</v>
      </c>
      <c r="B65" s="263">
        <v>1</v>
      </c>
      <c r="C65" s="466"/>
      <c r="D65" s="469"/>
      <c r="E65" s="321">
        <v>2</v>
      </c>
      <c r="F65" s="275">
        <v>30916856</v>
      </c>
      <c r="G65" s="327">
        <f>IF(ISBLANK(F65),"-",(F65/$D$50*$D$47*$B$68)*($B$57/$D$64))</f>
        <v>128.57395476105023</v>
      </c>
      <c r="H65" s="320">
        <f t="shared" si="0"/>
        <v>1.0285916380884019</v>
      </c>
    </row>
    <row r="66" spans="1:8" ht="26.25" customHeight="1" thickBot="1" x14ac:dyDescent="0.45">
      <c r="A66" s="262" t="s">
        <v>98</v>
      </c>
      <c r="B66" s="263">
        <v>1</v>
      </c>
      <c r="C66" s="466"/>
      <c r="D66" s="469"/>
      <c r="E66" s="321">
        <v>3</v>
      </c>
      <c r="F66" s="275">
        <v>30871620</v>
      </c>
      <c r="G66" s="327">
        <f>IF(ISBLANK(F66),"-",(F66/$D$50*$D$47*$B$68)*($B$57/$D$64))</f>
        <v>128.38583177022704</v>
      </c>
      <c r="H66" s="320">
        <f t="shared" si="0"/>
        <v>1.0270866541618164</v>
      </c>
    </row>
    <row r="67" spans="1:8" ht="27" customHeight="1" thickBot="1" x14ac:dyDescent="0.45">
      <c r="A67" s="262" t="s">
        <v>99</v>
      </c>
      <c r="B67" s="263">
        <v>1</v>
      </c>
      <c r="C67" s="467"/>
      <c r="D67" s="470"/>
      <c r="E67" s="324">
        <v>4</v>
      </c>
      <c r="F67" s="325"/>
      <c r="G67" s="328" t="str">
        <f>IF(ISBLANK(F67),"-",(F67/$D$50*$D$47*$B$68)*($B$57/$D$64))</f>
        <v>-</v>
      </c>
      <c r="H67" s="320" t="str">
        <f t="shared" si="0"/>
        <v>-</v>
      </c>
    </row>
    <row r="68" spans="1:8" ht="26.25" customHeight="1" thickBot="1" x14ac:dyDescent="0.45">
      <c r="A68" s="262" t="s">
        <v>100</v>
      </c>
      <c r="B68" s="329">
        <f>(B67/B66)*(B65/B64)*(B63/B62)*(B61/B60)*B59</f>
        <v>100</v>
      </c>
      <c r="C68" s="465" t="s">
        <v>101</v>
      </c>
      <c r="D68" s="468">
        <v>129.22</v>
      </c>
      <c r="E68" s="317">
        <v>1</v>
      </c>
      <c r="F68" s="318">
        <v>33076058</v>
      </c>
      <c r="G68" s="326">
        <f>IF(ISBLANK(F68),"-",(F68/$D$50*$D$47*$B$68)*($B$57/$D$68))</f>
        <v>129.10137734099854</v>
      </c>
      <c r="H68" s="320">
        <f t="shared" si="0"/>
        <v>1.0328110187279884</v>
      </c>
    </row>
    <row r="69" spans="1:8" ht="27" customHeight="1" thickBot="1" x14ac:dyDescent="0.45">
      <c r="A69" s="308" t="s">
        <v>102</v>
      </c>
      <c r="B69" s="330">
        <f>(D47*B68)/B56*B57</f>
        <v>84.370345499999999</v>
      </c>
      <c r="C69" s="466"/>
      <c r="D69" s="469"/>
      <c r="E69" s="321">
        <v>2</v>
      </c>
      <c r="F69" s="275">
        <v>33006855</v>
      </c>
      <c r="G69" s="327">
        <f>IF(ISBLANK(F69),"-",(F69/$D$50*$D$47*$B$68)*($B$57/$D$68))</f>
        <v>128.83126647663468</v>
      </c>
      <c r="H69" s="320">
        <f t="shared" si="0"/>
        <v>1.0306501318130774</v>
      </c>
    </row>
    <row r="70" spans="1:8" ht="26.25" customHeight="1" x14ac:dyDescent="0.4">
      <c r="A70" s="473" t="s">
        <v>80</v>
      </c>
      <c r="B70" s="474"/>
      <c r="C70" s="466"/>
      <c r="D70" s="469"/>
      <c r="E70" s="321">
        <v>3</v>
      </c>
      <c r="F70" s="275">
        <v>33082046</v>
      </c>
      <c r="G70" s="327">
        <f>IF(ISBLANK(F70),"-",(F70/$D$50*$D$47*$B$68)*($B$57/$D$68))</f>
        <v>129.12474950486151</v>
      </c>
      <c r="H70" s="320">
        <f t="shared" si="0"/>
        <v>1.0329979960388922</v>
      </c>
    </row>
    <row r="71" spans="1:8" ht="27" customHeight="1" thickBot="1" x14ac:dyDescent="0.45">
      <c r="A71" s="475"/>
      <c r="B71" s="476"/>
      <c r="C71" s="471"/>
      <c r="D71" s="470"/>
      <c r="E71" s="324">
        <v>4</v>
      </c>
      <c r="F71" s="325"/>
      <c r="G71" s="328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292"/>
      <c r="B72" s="292"/>
      <c r="C72" s="292"/>
      <c r="D72" s="292"/>
      <c r="E72" s="292"/>
      <c r="F72" s="332" t="s">
        <v>73</v>
      </c>
      <c r="G72" s="333">
        <f>AVERAGE(G60:G71)</f>
        <v>128.77666659902513</v>
      </c>
      <c r="H72" s="334">
        <f>AVERAGE(H60:H71)</f>
        <v>1.0302133327922012</v>
      </c>
    </row>
    <row r="73" spans="1:8" ht="26.25" customHeight="1" x14ac:dyDescent="0.4">
      <c r="C73" s="292"/>
      <c r="D73" s="292"/>
      <c r="E73" s="292"/>
      <c r="F73" s="335" t="s">
        <v>44</v>
      </c>
      <c r="G73" s="336">
        <f>STDEV(G60:G71)/G72</f>
        <v>2.1470371293714325E-3</v>
      </c>
      <c r="H73" s="336" t="s">
        <v>124</v>
      </c>
    </row>
    <row r="74" spans="1:8" ht="27" customHeight="1" thickBot="1" x14ac:dyDescent="0.45">
      <c r="A74" s="292"/>
      <c r="B74" s="292"/>
      <c r="C74" s="292"/>
      <c r="D74" s="292"/>
      <c r="E74" s="294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5" t="s">
        <v>103</v>
      </c>
      <c r="B76" s="246" t="s">
        <v>104</v>
      </c>
      <c r="C76" s="477" t="str">
        <f>B20</f>
        <v>Amoxicillin &amp; Clavulanic Acid</v>
      </c>
      <c r="D76" s="477"/>
      <c r="E76" s="235" t="s">
        <v>105</v>
      </c>
      <c r="F76" s="235"/>
      <c r="G76" s="339">
        <f>H72</f>
        <v>1.0302133327922012</v>
      </c>
      <c r="H76" s="251"/>
    </row>
    <row r="77" spans="1:8" ht="18.75" x14ac:dyDescent="0.3">
      <c r="A77" s="244" t="s">
        <v>106</v>
      </c>
      <c r="B77" s="244" t="s">
        <v>107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472" t="str">
        <f>B26</f>
        <v>Clavulanic acid</v>
      </c>
      <c r="C79" s="472"/>
    </row>
    <row r="80" spans="1:8" ht="26.25" customHeight="1" x14ac:dyDescent="0.4">
      <c r="A80" s="246" t="s">
        <v>50</v>
      </c>
      <c r="B80" s="472">
        <f>B27</f>
        <v>0</v>
      </c>
      <c r="C80" s="472"/>
    </row>
    <row r="81" spans="1:12" ht="27" customHeight="1" thickBot="1" x14ac:dyDescent="0.45">
      <c r="A81" s="246" t="s">
        <v>6</v>
      </c>
      <c r="B81" s="247">
        <f>B28</f>
        <v>96.4</v>
      </c>
    </row>
    <row r="82" spans="1:12" s="249" customFormat="1" ht="27" customHeight="1" thickBot="1" x14ac:dyDescent="0.45">
      <c r="A82" s="246" t="s">
        <v>51</v>
      </c>
      <c r="B82" s="248">
        <v>0</v>
      </c>
      <c r="C82" s="454" t="s">
        <v>52</v>
      </c>
      <c r="D82" s="455"/>
      <c r="E82" s="455"/>
      <c r="F82" s="455"/>
      <c r="G82" s="456"/>
      <c r="I82" s="250"/>
      <c r="J82" s="250"/>
      <c r="K82" s="250"/>
      <c r="L82" s="250"/>
    </row>
    <row r="83" spans="1:12" s="249" customFormat="1" ht="19.5" customHeight="1" thickBot="1" x14ac:dyDescent="0.35">
      <c r="A83" s="246" t="s">
        <v>53</v>
      </c>
      <c r="B83" s="251">
        <f>B81-B82</f>
        <v>96.4</v>
      </c>
      <c r="C83" s="252"/>
      <c r="D83" s="252"/>
      <c r="E83" s="252"/>
      <c r="F83" s="252"/>
      <c r="G83" s="253"/>
      <c r="I83" s="250"/>
      <c r="J83" s="250"/>
      <c r="K83" s="250"/>
      <c r="L83" s="250"/>
    </row>
    <row r="84" spans="1:12" s="249" customFormat="1" ht="27" customHeight="1" thickBot="1" x14ac:dyDescent="0.45">
      <c r="A84" s="246" t="s">
        <v>54</v>
      </c>
      <c r="B84" s="254">
        <v>1</v>
      </c>
      <c r="C84" s="442" t="s">
        <v>108</v>
      </c>
      <c r="D84" s="443"/>
      <c r="E84" s="443"/>
      <c r="F84" s="443"/>
      <c r="G84" s="443"/>
      <c r="H84" s="444"/>
      <c r="I84" s="250"/>
      <c r="J84" s="250"/>
      <c r="K84" s="250"/>
      <c r="L84" s="250"/>
    </row>
    <row r="85" spans="1:12" s="249" customFormat="1" ht="27" customHeight="1" thickBot="1" x14ac:dyDescent="0.45">
      <c r="A85" s="246" t="s">
        <v>56</v>
      </c>
      <c r="B85" s="254">
        <v>1</v>
      </c>
      <c r="C85" s="442" t="s">
        <v>109</v>
      </c>
      <c r="D85" s="443"/>
      <c r="E85" s="443"/>
      <c r="F85" s="443"/>
      <c r="G85" s="443"/>
      <c r="H85" s="444"/>
      <c r="I85" s="250"/>
      <c r="J85" s="250"/>
      <c r="K85" s="250"/>
      <c r="L85" s="250"/>
    </row>
    <row r="86" spans="1:12" s="249" customFormat="1" ht="18.75" x14ac:dyDescent="0.3">
      <c r="A86" s="246"/>
      <c r="B86" s="257"/>
      <c r="C86" s="258"/>
      <c r="D86" s="258"/>
      <c r="E86" s="258"/>
      <c r="F86" s="258"/>
      <c r="G86" s="258"/>
      <c r="H86" s="258"/>
      <c r="I86" s="250"/>
      <c r="J86" s="250"/>
      <c r="K86" s="250"/>
      <c r="L86" s="250"/>
    </row>
    <row r="87" spans="1:12" s="249" customFormat="1" ht="18.75" x14ac:dyDescent="0.3">
      <c r="A87" s="246" t="s">
        <v>58</v>
      </c>
      <c r="B87" s="259">
        <f>B84/B85</f>
        <v>1</v>
      </c>
      <c r="C87" s="235" t="s">
        <v>59</v>
      </c>
      <c r="D87" s="235"/>
      <c r="E87" s="235"/>
      <c r="F87" s="235"/>
      <c r="G87" s="235"/>
      <c r="I87" s="250"/>
      <c r="J87" s="250"/>
      <c r="K87" s="250"/>
      <c r="L87" s="250"/>
    </row>
    <row r="88" spans="1:12" ht="19.5" customHeight="1" thickBot="1" x14ac:dyDescent="0.35">
      <c r="A88" s="244"/>
      <c r="B88" s="244"/>
    </row>
    <row r="89" spans="1:12" ht="27" customHeight="1" thickBot="1" x14ac:dyDescent="0.45">
      <c r="A89" s="260" t="s">
        <v>60</v>
      </c>
      <c r="B89" s="261">
        <v>20</v>
      </c>
      <c r="D89" s="340" t="s">
        <v>61</v>
      </c>
      <c r="E89" s="341"/>
      <c r="F89" s="457" t="s">
        <v>62</v>
      </c>
      <c r="G89" s="459"/>
    </row>
    <row r="90" spans="1:12" ht="27" customHeight="1" thickBot="1" x14ac:dyDescent="0.45">
      <c r="A90" s="262" t="s">
        <v>63</v>
      </c>
      <c r="B90" s="263">
        <v>3</v>
      </c>
      <c r="C90" s="342" t="s">
        <v>64</v>
      </c>
      <c r="D90" s="265" t="s">
        <v>65</v>
      </c>
      <c r="E90" s="266" t="s">
        <v>66</v>
      </c>
      <c r="F90" s="265" t="s">
        <v>65</v>
      </c>
      <c r="G90" s="343" t="s">
        <v>66</v>
      </c>
      <c r="I90" s="268" t="s">
        <v>67</v>
      </c>
    </row>
    <row r="91" spans="1:12" ht="26.25" customHeight="1" x14ac:dyDescent="0.4">
      <c r="A91" s="262" t="s">
        <v>68</v>
      </c>
      <c r="B91" s="263">
        <v>25</v>
      </c>
      <c r="C91" s="344">
        <v>1</v>
      </c>
      <c r="D91" s="270">
        <v>37563949</v>
      </c>
      <c r="E91" s="271">
        <f>IF(ISBLANK(D91),"-",$D$101/$D$98*D91)</f>
        <v>41895408.726291478</v>
      </c>
      <c r="F91" s="270">
        <v>40626429</v>
      </c>
      <c r="G91" s="272">
        <f>IF(ISBLANK(F91),"-",$D$101/$F$98*F91)</f>
        <v>42581678.859827749</v>
      </c>
      <c r="I91" s="273"/>
    </row>
    <row r="92" spans="1:12" ht="26.25" customHeight="1" x14ac:dyDescent="0.4">
      <c r="A92" s="262" t="s">
        <v>69</v>
      </c>
      <c r="B92" s="263">
        <v>1</v>
      </c>
      <c r="C92" s="292">
        <v>2</v>
      </c>
      <c r="D92" s="275">
        <v>37671116</v>
      </c>
      <c r="E92" s="276">
        <f>IF(ISBLANK(D92),"-",$D$101/$D$98*D92)</f>
        <v>42014933.041133098</v>
      </c>
      <c r="F92" s="275">
        <v>40949313</v>
      </c>
      <c r="G92" s="277">
        <f>IF(ISBLANK(F92),"-",$D$101/$F$98*F92)</f>
        <v>42920102.470649578</v>
      </c>
      <c r="I92" s="460">
        <f>ABS((F96/D96*D95)-F95)/D95</f>
        <v>1.8457913312582272E-2</v>
      </c>
    </row>
    <row r="93" spans="1:12" ht="26.25" customHeight="1" x14ac:dyDescent="0.4">
      <c r="A93" s="262" t="s">
        <v>70</v>
      </c>
      <c r="B93" s="263">
        <v>1</v>
      </c>
      <c r="C93" s="292">
        <v>3</v>
      </c>
      <c r="D93" s="275">
        <v>37927445</v>
      </c>
      <c r="E93" s="276">
        <f>IF(ISBLANK(D93),"-",$D$101/$D$98*D93)</f>
        <v>42300819.070405513</v>
      </c>
      <c r="F93" s="275">
        <v>40928845</v>
      </c>
      <c r="G93" s="277">
        <f>IF(ISBLANK(F93),"-",$D$101/$F$98*F93)</f>
        <v>42898649.396275185</v>
      </c>
      <c r="I93" s="460"/>
    </row>
    <row r="94" spans="1:12" ht="27" customHeight="1" thickBot="1" x14ac:dyDescent="0.45">
      <c r="A94" s="262" t="s">
        <v>71</v>
      </c>
      <c r="B94" s="263">
        <v>1</v>
      </c>
      <c r="C94" s="345">
        <v>4</v>
      </c>
      <c r="D94" s="279"/>
      <c r="E94" s="280" t="str">
        <f>IF(ISBLANK(D94),"-",$D$101/$D$98*D94)</f>
        <v>-</v>
      </c>
      <c r="F94" s="346"/>
      <c r="G94" s="281" t="str">
        <f>IF(ISBLANK(F94),"-",$D$101/$F$98*F94)</f>
        <v>-</v>
      </c>
      <c r="I94" s="282"/>
    </row>
    <row r="95" spans="1:12" ht="27" customHeight="1" thickBot="1" x14ac:dyDescent="0.45">
      <c r="A95" s="262" t="s">
        <v>72</v>
      </c>
      <c r="B95" s="263">
        <v>1</v>
      </c>
      <c r="C95" s="246" t="s">
        <v>73</v>
      </c>
      <c r="D95" s="347">
        <f>AVERAGE(D91:D94)</f>
        <v>37720836.666666664</v>
      </c>
      <c r="E95" s="285">
        <f>AVERAGE(E91:E94)</f>
        <v>42070386.945943363</v>
      </c>
      <c r="F95" s="348">
        <f>AVERAGE(F91:F94)</f>
        <v>40834862.333333336</v>
      </c>
      <c r="G95" s="349">
        <f>AVERAGE(G91:G94)</f>
        <v>42800143.575584173</v>
      </c>
    </row>
    <row r="96" spans="1:12" ht="26.25" customHeight="1" x14ac:dyDescent="0.4">
      <c r="A96" s="262" t="s">
        <v>74</v>
      </c>
      <c r="B96" s="247">
        <v>1</v>
      </c>
      <c r="C96" s="350" t="s">
        <v>110</v>
      </c>
      <c r="D96" s="351">
        <v>21.53</v>
      </c>
      <c r="E96" s="235"/>
      <c r="F96" s="289">
        <v>22.91</v>
      </c>
    </row>
    <row r="97" spans="1:10" ht="26.25" customHeight="1" x14ac:dyDescent="0.4">
      <c r="A97" s="262" t="s">
        <v>76</v>
      </c>
      <c r="B97" s="247">
        <v>1</v>
      </c>
      <c r="C97" s="352" t="s">
        <v>111</v>
      </c>
      <c r="D97" s="353">
        <f>D96*$B$87</f>
        <v>21.53</v>
      </c>
      <c r="E97" s="292"/>
      <c r="F97" s="291">
        <f>F96*$B$87</f>
        <v>22.91</v>
      </c>
    </row>
    <row r="98" spans="1:10" ht="19.5" customHeight="1" thickBot="1" x14ac:dyDescent="0.35">
      <c r="A98" s="262" t="s">
        <v>78</v>
      </c>
      <c r="B98" s="292">
        <f>(B97/B96)*(B95/B94)*(B93/B92)*(B91/B90)*B89</f>
        <v>166.66666666666669</v>
      </c>
      <c r="C98" s="352" t="s">
        <v>112</v>
      </c>
      <c r="D98" s="354">
        <f>D97*$B$83/100</f>
        <v>20.754920000000002</v>
      </c>
      <c r="E98" s="294"/>
      <c r="F98" s="293">
        <f>F97*$B$83/100</f>
        <v>22.085240000000002</v>
      </c>
    </row>
    <row r="99" spans="1:10" ht="19.5" customHeight="1" thickBot="1" x14ac:dyDescent="0.35">
      <c r="A99" s="461" t="s">
        <v>80</v>
      </c>
      <c r="B99" s="478"/>
      <c r="C99" s="352" t="s">
        <v>113</v>
      </c>
      <c r="D99" s="355">
        <f>D98/$B$98</f>
        <v>0.12452952</v>
      </c>
      <c r="E99" s="294"/>
      <c r="F99" s="297">
        <f>F98/$B$98</f>
        <v>0.13251144000000001</v>
      </c>
      <c r="H99" s="287"/>
    </row>
    <row r="100" spans="1:10" ht="19.5" customHeight="1" thickBot="1" x14ac:dyDescent="0.35">
      <c r="A100" s="463"/>
      <c r="B100" s="479"/>
      <c r="C100" s="352" t="s">
        <v>82</v>
      </c>
      <c r="D100" s="356">
        <f>$B$56/$B$116</f>
        <v>0.1388888888888889</v>
      </c>
      <c r="F100" s="302"/>
      <c r="G100" s="357"/>
      <c r="H100" s="287"/>
    </row>
    <row r="101" spans="1:10" ht="18.75" x14ac:dyDescent="0.3">
      <c r="C101" s="352" t="s">
        <v>83</v>
      </c>
      <c r="D101" s="353">
        <f>D100*$B$98</f>
        <v>23.148148148148152</v>
      </c>
      <c r="F101" s="302"/>
      <c r="H101" s="287"/>
    </row>
    <row r="102" spans="1:10" ht="19.5" customHeight="1" thickBot="1" x14ac:dyDescent="0.35">
      <c r="C102" s="358" t="s">
        <v>84</v>
      </c>
      <c r="D102" s="359">
        <f>D101/B34</f>
        <v>23.148148148148152</v>
      </c>
      <c r="F102" s="306"/>
      <c r="H102" s="287"/>
      <c r="J102" s="360"/>
    </row>
    <row r="103" spans="1:10" ht="18.75" x14ac:dyDescent="0.3">
      <c r="C103" s="361" t="s">
        <v>114</v>
      </c>
      <c r="D103" s="362">
        <f>AVERAGE(E91:E94,G91:G94)</f>
        <v>42435265.260763772</v>
      </c>
      <c r="F103" s="306"/>
      <c r="G103" s="357"/>
      <c r="H103" s="287"/>
      <c r="J103" s="363"/>
    </row>
    <row r="104" spans="1:10" ht="18.75" x14ac:dyDescent="0.3">
      <c r="C104" s="335" t="s">
        <v>44</v>
      </c>
      <c r="D104" s="364">
        <f>STDEV(E91:E94,G91:G94)/D103</f>
        <v>1.0311963191535984E-2</v>
      </c>
      <c r="F104" s="306"/>
      <c r="H104" s="287"/>
      <c r="J104" s="363"/>
    </row>
    <row r="105" spans="1:10" ht="19.5" customHeight="1" thickBot="1" x14ac:dyDescent="0.35">
      <c r="C105" s="337" t="s">
        <v>20</v>
      </c>
      <c r="D105" s="365">
        <f>COUNT(E91:E94,G91:G94)</f>
        <v>6</v>
      </c>
      <c r="F105" s="306"/>
      <c r="H105" s="287"/>
      <c r="J105" s="363"/>
    </row>
    <row r="106" spans="1:10" ht="19.5" customHeight="1" thickBot="1" x14ac:dyDescent="0.35">
      <c r="A106" s="310"/>
      <c r="B106" s="310"/>
      <c r="C106" s="310"/>
      <c r="D106" s="310"/>
      <c r="E106" s="310"/>
    </row>
    <row r="107" spans="1:10" ht="26.25" customHeight="1" x14ac:dyDescent="0.4">
      <c r="A107" s="260" t="s">
        <v>115</v>
      </c>
      <c r="B107" s="261">
        <v>900</v>
      </c>
      <c r="C107" s="340" t="s">
        <v>116</v>
      </c>
      <c r="D107" s="366" t="s">
        <v>65</v>
      </c>
      <c r="E107" s="367" t="s">
        <v>117</v>
      </c>
      <c r="F107" s="368" t="s">
        <v>118</v>
      </c>
    </row>
    <row r="108" spans="1:10" ht="26.25" customHeight="1" x14ac:dyDescent="0.4">
      <c r="A108" s="262" t="s">
        <v>119</v>
      </c>
      <c r="B108" s="263">
        <v>1</v>
      </c>
      <c r="C108" s="369">
        <v>1</v>
      </c>
      <c r="D108" s="370">
        <v>40446591</v>
      </c>
      <c r="E108" s="371">
        <f t="shared" ref="E108:E113" si="1">IF(ISBLANK(D108),"-",D108/$D$103*$D$100*$B$116)</f>
        <v>119.14203537864259</v>
      </c>
      <c r="F108" s="372">
        <f t="shared" ref="F108:F113" si="2">IF(ISBLANK(D108), "-", E108/$B$56)</f>
        <v>0.95313628302914066</v>
      </c>
    </row>
    <row r="109" spans="1:10" ht="26.25" customHeight="1" x14ac:dyDescent="0.4">
      <c r="A109" s="262" t="s">
        <v>92</v>
      </c>
      <c r="B109" s="263">
        <v>1</v>
      </c>
      <c r="C109" s="369">
        <v>2</v>
      </c>
      <c r="D109" s="370">
        <v>40439408</v>
      </c>
      <c r="E109" s="373">
        <f t="shared" si="1"/>
        <v>119.1208766797519</v>
      </c>
      <c r="F109" s="374">
        <f t="shared" si="2"/>
        <v>0.95296701343801526</v>
      </c>
    </row>
    <row r="110" spans="1:10" ht="26.25" customHeight="1" x14ac:dyDescent="0.4">
      <c r="A110" s="262" t="s">
        <v>93</v>
      </c>
      <c r="B110" s="263">
        <v>1</v>
      </c>
      <c r="C110" s="369">
        <v>3</v>
      </c>
      <c r="D110" s="370">
        <v>40846217</v>
      </c>
      <c r="E110" s="373">
        <f t="shared" si="1"/>
        <v>120.31919898756641</v>
      </c>
      <c r="F110" s="374">
        <f t="shared" si="2"/>
        <v>0.96255359190053125</v>
      </c>
    </row>
    <row r="111" spans="1:10" ht="26.25" customHeight="1" x14ac:dyDescent="0.4">
      <c r="A111" s="262" t="s">
        <v>94</v>
      </c>
      <c r="B111" s="263">
        <v>1</v>
      </c>
      <c r="C111" s="369">
        <v>4</v>
      </c>
      <c r="D111" s="370">
        <v>42168981</v>
      </c>
      <c r="E111" s="373">
        <f t="shared" si="1"/>
        <v>124.21561624769089</v>
      </c>
      <c r="F111" s="374">
        <f t="shared" si="2"/>
        <v>0.99372492998152706</v>
      </c>
    </row>
    <row r="112" spans="1:10" ht="26.25" customHeight="1" x14ac:dyDescent="0.4">
      <c r="A112" s="262" t="s">
        <v>95</v>
      </c>
      <c r="B112" s="263">
        <v>1</v>
      </c>
      <c r="C112" s="369">
        <v>5</v>
      </c>
      <c r="D112" s="370">
        <v>41372355</v>
      </c>
      <c r="E112" s="373">
        <f t="shared" si="1"/>
        <v>121.86902434145217</v>
      </c>
      <c r="F112" s="374">
        <f t="shared" si="2"/>
        <v>0.97495219473161743</v>
      </c>
    </row>
    <row r="113" spans="1:10" ht="26.25" customHeight="1" x14ac:dyDescent="0.4">
      <c r="A113" s="262" t="s">
        <v>97</v>
      </c>
      <c r="B113" s="263">
        <v>1</v>
      </c>
      <c r="C113" s="375">
        <v>6</v>
      </c>
      <c r="D113" s="376">
        <v>41732370</v>
      </c>
      <c r="E113" s="377">
        <f t="shared" si="1"/>
        <v>122.92950728467085</v>
      </c>
      <c r="F113" s="378">
        <f t="shared" si="2"/>
        <v>0.9834360582773668</v>
      </c>
    </row>
    <row r="114" spans="1:10" ht="26.25" customHeight="1" x14ac:dyDescent="0.4">
      <c r="A114" s="262" t="s">
        <v>98</v>
      </c>
      <c r="B114" s="263">
        <v>1</v>
      </c>
      <c r="C114" s="369"/>
      <c r="D114" s="292"/>
      <c r="E114" s="235"/>
      <c r="F114" s="379"/>
    </row>
    <row r="115" spans="1:10" ht="26.25" customHeight="1" x14ac:dyDescent="0.4">
      <c r="A115" s="262" t="s">
        <v>99</v>
      </c>
      <c r="B115" s="263">
        <v>1</v>
      </c>
      <c r="C115" s="369"/>
      <c r="D115" s="380" t="s">
        <v>73</v>
      </c>
      <c r="E115" s="381">
        <f>AVERAGE(E108:E113)</f>
        <v>121.26604315329581</v>
      </c>
      <c r="F115" s="382">
        <f>AVERAGE(F108:F113)</f>
        <v>0.97012834522636648</v>
      </c>
    </row>
    <row r="116" spans="1:10" ht="27" customHeight="1" thickBot="1" x14ac:dyDescent="0.45">
      <c r="A116" s="262" t="s">
        <v>100</v>
      </c>
      <c r="B116" s="274">
        <f>(B115/B114)*(B113/B112)*(B111/B110)*(B109/B108)*B107</f>
        <v>900</v>
      </c>
      <c r="C116" s="383"/>
      <c r="D116" s="246" t="s">
        <v>44</v>
      </c>
      <c r="E116" s="384">
        <f>STDEV(E108:E113)/E115</f>
        <v>1.7234770943504268E-2</v>
      </c>
      <c r="F116" s="384">
        <f>STDEV(F108:F113)/F115</f>
        <v>1.7234770943504264E-2</v>
      </c>
      <c r="I116" s="235"/>
    </row>
    <row r="117" spans="1:10" ht="27" customHeight="1" thickBot="1" x14ac:dyDescent="0.45">
      <c r="A117" s="461" t="s">
        <v>80</v>
      </c>
      <c r="B117" s="462"/>
      <c r="C117" s="385"/>
      <c r="D117" s="386" t="s">
        <v>20</v>
      </c>
      <c r="E117" s="387">
        <f>COUNT(E108:E113)</f>
        <v>6</v>
      </c>
      <c r="F117" s="387">
        <f>COUNT(F108:F113)</f>
        <v>6</v>
      </c>
      <c r="I117" s="235"/>
      <c r="J117" s="363"/>
    </row>
    <row r="118" spans="1:10" ht="19.5" customHeight="1" thickBot="1" x14ac:dyDescent="0.35">
      <c r="A118" s="463"/>
      <c r="B118" s="464"/>
      <c r="C118" s="235"/>
      <c r="D118" s="235"/>
      <c r="E118" s="235"/>
      <c r="F118" s="292"/>
      <c r="G118" s="235"/>
      <c r="H118" s="235"/>
      <c r="I118" s="235"/>
    </row>
    <row r="119" spans="1:10" ht="18.75" x14ac:dyDescent="0.3">
      <c r="A119" s="388"/>
      <c r="B119" s="258"/>
      <c r="C119" s="235"/>
      <c r="D119" s="235"/>
      <c r="E119" s="235"/>
      <c r="F119" s="292"/>
      <c r="G119" s="235"/>
      <c r="H119" s="235"/>
      <c r="I119" s="235"/>
    </row>
    <row r="120" spans="1:10" ht="26.25" customHeight="1" x14ac:dyDescent="0.4">
      <c r="A120" s="245" t="s">
        <v>103</v>
      </c>
      <c r="B120" s="246" t="s">
        <v>120</v>
      </c>
      <c r="C120" s="477" t="str">
        <f>B20</f>
        <v>Amoxicillin &amp; Clavulanic Acid</v>
      </c>
      <c r="D120" s="477"/>
      <c r="E120" s="235" t="s">
        <v>121</v>
      </c>
      <c r="F120" s="235"/>
      <c r="G120" s="339">
        <f>F115</f>
        <v>0.97012834522636648</v>
      </c>
      <c r="H120" s="235"/>
      <c r="I120" s="235"/>
    </row>
    <row r="121" spans="1:10" ht="19.5" customHeight="1" thickBot="1" x14ac:dyDescent="0.35">
      <c r="A121" s="389"/>
      <c r="B121" s="389"/>
      <c r="C121" s="390"/>
      <c r="D121" s="390"/>
      <c r="E121" s="390"/>
      <c r="F121" s="390"/>
      <c r="G121" s="390"/>
      <c r="H121" s="390"/>
    </row>
    <row r="122" spans="1:10" ht="18.75" x14ac:dyDescent="0.3">
      <c r="B122" s="480" t="s">
        <v>23</v>
      </c>
      <c r="C122" s="480"/>
      <c r="E122" s="342" t="s">
        <v>24</v>
      </c>
      <c r="F122" s="391"/>
      <c r="G122" s="480" t="s">
        <v>25</v>
      </c>
      <c r="H122" s="480"/>
    </row>
    <row r="123" spans="1:10" ht="69.95" customHeight="1" x14ac:dyDescent="0.3">
      <c r="A123" s="245" t="s">
        <v>26</v>
      </c>
      <c r="B123" s="392"/>
      <c r="C123" s="392"/>
      <c r="E123" s="392"/>
      <c r="F123" s="235"/>
      <c r="G123" s="392"/>
      <c r="H123" s="392"/>
    </row>
    <row r="124" spans="1:10" ht="69.95" customHeight="1" x14ac:dyDescent="0.3">
      <c r="A124" s="245" t="s">
        <v>27</v>
      </c>
      <c r="B124" s="393"/>
      <c r="C124" s="393"/>
      <c r="E124" s="393"/>
      <c r="F124" s="235"/>
      <c r="G124" s="394"/>
      <c r="H124" s="394"/>
    </row>
    <row r="125" spans="1:10" ht="18.75" x14ac:dyDescent="0.3">
      <c r="A125" s="292"/>
      <c r="B125" s="292"/>
      <c r="C125" s="292"/>
      <c r="D125" s="292"/>
      <c r="E125" s="292"/>
      <c r="F125" s="294"/>
      <c r="G125" s="292"/>
      <c r="H125" s="292"/>
      <c r="I125" s="235"/>
    </row>
    <row r="126" spans="1:10" ht="18.75" x14ac:dyDescent="0.3">
      <c r="A126" s="292"/>
      <c r="B126" s="292"/>
      <c r="C126" s="292"/>
      <c r="D126" s="292"/>
      <c r="E126" s="292"/>
      <c r="F126" s="294"/>
      <c r="G126" s="292"/>
      <c r="H126" s="292"/>
      <c r="I126" s="235"/>
    </row>
    <row r="127" spans="1:10" ht="18.75" x14ac:dyDescent="0.3">
      <c r="A127" s="292"/>
      <c r="B127" s="292"/>
      <c r="C127" s="292"/>
      <c r="D127" s="292"/>
      <c r="E127" s="292"/>
      <c r="F127" s="294"/>
      <c r="G127" s="292"/>
      <c r="H127" s="292"/>
      <c r="I127" s="235"/>
    </row>
    <row r="128" spans="1:10" ht="18.75" x14ac:dyDescent="0.3">
      <c r="A128" s="292"/>
      <c r="B128" s="292"/>
      <c r="C128" s="292"/>
      <c r="D128" s="292"/>
      <c r="E128" s="292"/>
      <c r="F128" s="294"/>
      <c r="G128" s="292"/>
      <c r="H128" s="292"/>
      <c r="I128" s="235"/>
    </row>
    <row r="129" spans="1:9" ht="18.75" x14ac:dyDescent="0.3">
      <c r="A129" s="292"/>
      <c r="B129" s="292"/>
      <c r="C129" s="292"/>
      <c r="D129" s="292"/>
      <c r="E129" s="292"/>
      <c r="F129" s="294"/>
      <c r="G129" s="292"/>
      <c r="H129" s="292"/>
      <c r="I129" s="235"/>
    </row>
    <row r="130" spans="1:9" ht="18.75" x14ac:dyDescent="0.3">
      <c r="A130" s="292"/>
      <c r="B130" s="292"/>
      <c r="C130" s="292"/>
      <c r="D130" s="292"/>
      <c r="E130" s="292"/>
      <c r="F130" s="294"/>
      <c r="G130" s="292"/>
      <c r="H130" s="292"/>
      <c r="I130" s="235"/>
    </row>
    <row r="131" spans="1:9" ht="18.75" x14ac:dyDescent="0.3">
      <c r="A131" s="292"/>
      <c r="B131" s="292"/>
      <c r="C131" s="292"/>
      <c r="D131" s="292"/>
      <c r="E131" s="292"/>
      <c r="F131" s="294"/>
      <c r="G131" s="292"/>
      <c r="H131" s="292"/>
      <c r="I131" s="235"/>
    </row>
    <row r="132" spans="1:9" ht="18.75" x14ac:dyDescent="0.3">
      <c r="A132" s="292"/>
      <c r="B132" s="292"/>
      <c r="C132" s="292"/>
      <c r="D132" s="292"/>
      <c r="E132" s="292"/>
      <c r="F132" s="294"/>
      <c r="G132" s="292"/>
      <c r="H132" s="292"/>
      <c r="I132" s="235"/>
    </row>
    <row r="133" spans="1:9" ht="18.75" x14ac:dyDescent="0.3">
      <c r="A133" s="292"/>
      <c r="B133" s="292"/>
      <c r="C133" s="292"/>
      <c r="D133" s="292"/>
      <c r="E133" s="292"/>
      <c r="F133" s="294"/>
      <c r="G133" s="292"/>
      <c r="H133" s="292"/>
      <c r="I133" s="235"/>
    </row>
    <row r="250" spans="1:1" x14ac:dyDescent="0.25">
      <c r="A250" s="23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(clavulanate)</vt:lpstr>
      <vt:lpstr>SST (Amoxicillin) </vt:lpstr>
      <vt:lpstr>Uniformity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2016-05-25T16:23:57Z</cp:lastPrinted>
  <dcterms:created xsi:type="dcterms:W3CDTF">2005-07-05T10:19:27Z</dcterms:created>
  <dcterms:modified xsi:type="dcterms:W3CDTF">2016-05-25T16:26:25Z</dcterms:modified>
  <cp:category/>
</cp:coreProperties>
</file>