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D100" i="3" l="1"/>
  <c r="F116" i="4"/>
  <c r="F115" i="4"/>
  <c r="E108" i="4"/>
  <c r="D102" i="3"/>
  <c r="C120" i="4" l="1"/>
  <c r="C76" i="3"/>
  <c r="C120" i="3"/>
  <c r="C76" i="4"/>
  <c r="G60" i="4"/>
  <c r="F52" i="1"/>
  <c r="F30" i="1"/>
  <c r="B43" i="1" l="1"/>
  <c r="B21" i="1"/>
  <c r="B116" i="4"/>
  <c r="D100" i="4"/>
  <c r="B98" i="4"/>
  <c r="F95" i="4"/>
  <c r="D95" i="4"/>
  <c r="B87" i="4"/>
  <c r="F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B30" i="4"/>
  <c r="B116" i="3"/>
  <c r="B98" i="3"/>
  <c r="F95" i="3"/>
  <c r="D95" i="3"/>
  <c r="B87" i="3"/>
  <c r="F97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B30" i="3"/>
  <c r="C46" i="2"/>
  <c r="D38" i="2" s="1"/>
  <c r="C45" i="2"/>
  <c r="D41" i="2"/>
  <c r="D37" i="2"/>
  <c r="D33" i="2"/>
  <c r="D29" i="2"/>
  <c r="D25" i="2"/>
  <c r="C19" i="2"/>
  <c r="B54" i="1"/>
  <c r="E52" i="1"/>
  <c r="D52" i="1"/>
  <c r="C52" i="1"/>
  <c r="B52" i="1"/>
  <c r="B53" i="1" s="1"/>
  <c r="B32" i="1"/>
  <c r="E30" i="1"/>
  <c r="D30" i="1"/>
  <c r="C30" i="1"/>
  <c r="B30" i="1"/>
  <c r="B31" i="1" s="1"/>
  <c r="F98" i="3" l="1"/>
  <c r="F99" i="3" s="1"/>
  <c r="I92" i="4"/>
  <c r="D101" i="4"/>
  <c r="D102" i="4" s="1"/>
  <c r="D97" i="4"/>
  <c r="I39" i="4"/>
  <c r="D49" i="4"/>
  <c r="D44" i="4"/>
  <c r="D45" i="4" s="1"/>
  <c r="D98" i="4"/>
  <c r="F98" i="4"/>
  <c r="D101" i="3"/>
  <c r="G93" i="3" s="1"/>
  <c r="I92" i="3"/>
  <c r="D97" i="3"/>
  <c r="D98" i="3" s="1"/>
  <c r="I39" i="3"/>
  <c r="G94" i="3"/>
  <c r="D30" i="2"/>
  <c r="D34" i="2"/>
  <c r="D42" i="2"/>
  <c r="B49" i="2"/>
  <c r="D50" i="2"/>
  <c r="D44" i="3"/>
  <c r="D45" i="3" s="1"/>
  <c r="D49" i="3"/>
  <c r="D27" i="2"/>
  <c r="D31" i="2"/>
  <c r="D35" i="2"/>
  <c r="D39" i="2"/>
  <c r="D43" i="2"/>
  <c r="C49" i="2"/>
  <c r="E39" i="3"/>
  <c r="F44" i="3"/>
  <c r="F45" i="3" s="1"/>
  <c r="G39" i="3" s="1"/>
  <c r="F44" i="4"/>
  <c r="F45" i="4" s="1"/>
  <c r="G39" i="4" s="1"/>
  <c r="D24" i="2"/>
  <c r="D28" i="2"/>
  <c r="D32" i="2"/>
  <c r="D36" i="2"/>
  <c r="D40" i="2"/>
  <c r="D49" i="2"/>
  <c r="B57" i="3"/>
  <c r="B69" i="3" s="1"/>
  <c r="B57" i="4"/>
  <c r="B69" i="4" s="1"/>
  <c r="C50" i="2"/>
  <c r="D26" i="2"/>
  <c r="G94" i="4" l="1"/>
  <c r="G92" i="4"/>
  <c r="E93" i="4"/>
  <c r="D99" i="4"/>
  <c r="F99" i="4"/>
  <c r="E92" i="4"/>
  <c r="E91" i="4"/>
  <c r="E40" i="4"/>
  <c r="D46" i="4"/>
  <c r="E38" i="4"/>
  <c r="G91" i="4"/>
  <c r="E39" i="4"/>
  <c r="E41" i="4"/>
  <c r="G93" i="4"/>
  <c r="E94" i="4"/>
  <c r="G91" i="3"/>
  <c r="G92" i="3"/>
  <c r="G95" i="3" s="1"/>
  <c r="D99" i="3"/>
  <c r="E91" i="3"/>
  <c r="E92" i="3"/>
  <c r="E93" i="3"/>
  <c r="E94" i="3"/>
  <c r="E38" i="3"/>
  <c r="D46" i="3"/>
  <c r="G41" i="4"/>
  <c r="F46" i="4"/>
  <c r="G38" i="4"/>
  <c r="E40" i="3"/>
  <c r="G40" i="4"/>
  <c r="G41" i="3"/>
  <c r="F46" i="3"/>
  <c r="E41" i="3"/>
  <c r="G40" i="3"/>
  <c r="G38" i="3"/>
  <c r="E95" i="4" l="1"/>
  <c r="D105" i="4"/>
  <c r="G95" i="4"/>
  <c r="D52" i="4"/>
  <c r="E42" i="4"/>
  <c r="G42" i="4"/>
  <c r="D50" i="4"/>
  <c r="G68" i="4" s="1"/>
  <c r="H68" i="4" s="1"/>
  <c r="D103" i="4"/>
  <c r="E112" i="4" s="1"/>
  <c r="F112" i="4" s="1"/>
  <c r="E95" i="3"/>
  <c r="D105" i="3"/>
  <c r="D103" i="3"/>
  <c r="E110" i="3" s="1"/>
  <c r="F110" i="3" s="1"/>
  <c r="G42" i="3"/>
  <c r="D52" i="3"/>
  <c r="D50" i="3"/>
  <c r="E42" i="3"/>
  <c r="D104" i="4" l="1"/>
  <c r="E113" i="4"/>
  <c r="F113" i="4" s="1"/>
  <c r="F108" i="4"/>
  <c r="D51" i="4"/>
  <c r="H60" i="4"/>
  <c r="G63" i="4"/>
  <c r="H63" i="4" s="1"/>
  <c r="G69" i="4"/>
  <c r="H69" i="4" s="1"/>
  <c r="G65" i="4"/>
  <c r="H65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09" i="4"/>
  <c r="F109" i="4" s="1"/>
  <c r="E110" i="4"/>
  <c r="F110" i="4" s="1"/>
  <c r="E111" i="4"/>
  <c r="F111" i="4" s="1"/>
  <c r="E109" i="3"/>
  <c r="F109" i="3" s="1"/>
  <c r="E112" i="3"/>
  <c r="F112" i="3" s="1"/>
  <c r="E113" i="3"/>
  <c r="F113" i="3" s="1"/>
  <c r="E108" i="3"/>
  <c r="F108" i="3" s="1"/>
  <c r="E111" i="3"/>
  <c r="F111" i="3" s="1"/>
  <c r="D104" i="3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E117" i="4" l="1"/>
  <c r="G72" i="4"/>
  <c r="G73" i="4" s="1"/>
  <c r="G74" i="4"/>
  <c r="E115" i="4"/>
  <c r="E116" i="4" s="1"/>
  <c r="E115" i="3"/>
  <c r="E116" i="3" s="1"/>
  <c r="E117" i="3"/>
  <c r="F117" i="3"/>
  <c r="F115" i="3"/>
  <c r="F117" i="4"/>
  <c r="G74" i="3"/>
  <c r="G72" i="3"/>
  <c r="G73" i="3" s="1"/>
  <c r="H60" i="3"/>
  <c r="H74" i="4"/>
  <c r="H72" i="4"/>
  <c r="H74" i="3" l="1"/>
  <c r="H72" i="3"/>
  <c r="G120" i="3"/>
  <c r="F116" i="3"/>
  <c r="G76" i="4"/>
  <c r="H73" i="4"/>
  <c r="G120" i="4"/>
  <c r="G76" i="3" l="1"/>
  <c r="H73" i="3"/>
</calcChain>
</file>

<file path=xl/sharedStrings.xml><?xml version="1.0" encoding="utf-8"?>
<sst xmlns="http://schemas.openxmlformats.org/spreadsheetml/2006/main" count="400" uniqueCount="134">
  <si>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</si>
  <si>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</si>
  <si>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</si>
  <si>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</si>
  <si>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</si>
  <si>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</si>
  <si>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</si>
  <si>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NDQD201512625</t>
  </si>
  <si>
    <t>Weight (mg):</t>
  </si>
  <si>
    <t>Standard Conc (mg/mL):</t>
  </si>
  <si>
    <t>Sulphamethoxazole 800mg Trimethoprim 160 per tablets</t>
  </si>
  <si>
    <t>2015-12-09 09:51:20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</si>
  <si>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</si>
  <si>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</si>
  <si>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</si>
  <si>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</si>
  <si>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</si>
  <si>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</si>
  <si>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</si>
  <si>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</si>
  <si>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</si>
  <si>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</si>
  <si>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</si>
  <si>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</si>
  <si>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</si>
  <si>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</si>
  <si>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</si>
  <si>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</si>
  <si>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</si>
  <si>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</si>
  <si>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</si>
  <si>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</si>
  <si>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</si>
  <si>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</si>
  <si>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</si>
  <si>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</si>
  <si>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</si>
  <si>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</si>
  <si>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</si>
  <si>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</si>
  <si>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</si>
  <si>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</si>
  <si>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</si>
  <si>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</si>
  <si>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</si>
  <si>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</si>
  <si>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</si>
  <si>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</si>
  <si>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</si>
  <si>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</si>
  <si>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</si>
  <si>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</si>
  <si>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</si>
  <si>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</si>
  <si>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</si>
  <si>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</si>
  <si>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</si>
  <si>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</si>
  <si>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</si>
  <si>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</si>
  <si>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</si>
  <si>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</si>
  <si>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</si>
  <si>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</si>
  <si>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</si>
  <si>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</si>
  <si>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</si>
  <si>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</si>
  <si>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</si>
  <si>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</si>
  <si>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</si>
  <si>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</si>
  <si>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</si>
  <si>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</si>
  <si>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</si>
  <si>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</si>
  <si>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</si>
  <si>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</si>
  <si>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</si>
  <si>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</si>
  <si>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</si>
  <si>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</si>
  <si>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</si>
  <si>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</si>
  <si>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</si>
  <si>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</si>
  <si>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</si>
  <si>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</si>
  <si>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</si>
  <si>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</si>
  <si>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</si>
  <si>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</si>
  <si>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</si>
  <si>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</si>
  <si>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</si>
  <si>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</si>
  <si>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</si>
  <si>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</si>
  <si>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</si>
  <si>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</si>
  <si>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</si>
  <si>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</si>
  <si>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</si>
  <si>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</si>
  <si>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</si>
  <si>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</si>
  <si>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</si>
  <si>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</si>
  <si>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</si>
  <si>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</si>
  <si>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</si>
  <si>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</si>
  <si>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</si>
  <si>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</si>
  <si>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</si>
  <si>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</si>
  <si>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</si>
  <si>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</si>
  <si>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</si>
  <si>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</si>
  <si>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</si>
  <si>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</si>
  <si>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</si>
  <si>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</si>
  <si>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 12 4</t>
  </si>
  <si>
    <t>T14 9</t>
  </si>
  <si>
    <t>Resolution</t>
  </si>
  <si>
    <r>
      <t xml:space="preserve">Resolution between component peaks is not less than </t>
    </r>
    <r>
      <rPr>
        <b/>
        <sz val="12"/>
        <color rgb="FF000000"/>
        <rFont val="Book Antiqua"/>
        <family val="1"/>
      </rPr>
      <t>5.0</t>
    </r>
  </si>
  <si>
    <t>N. MWAURA</t>
  </si>
  <si>
    <t>Each tablet contains sulphamethoxazole 800 mg and Trimethoprim 160 mg.</t>
  </si>
  <si>
    <t>Each tablet contains Sulphamethoxazole 800 mg  and Trimethoprim 160mg.</t>
  </si>
  <si>
    <t>Sulphamethoxazole 800mg and Trimethoprim 160 mg per tablet</t>
  </si>
  <si>
    <t>Each tablet contains Trimethoprim 160 mg.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</si>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</sst>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d\-mmm\-yyyy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/>
    <xf numFmtId="0" fontId="24" fillId="2" borderId="0"/>
    <xf numFmtId="0" fontId="24" fillId="2" borderId="0"/>
    <xf numFmtId="43" fontId="24" fillId="2" borderId="0" applyFont="0" applyFill="0" applyBorder="0" applyAlignment="0" applyProtection="0"/>
    <xf numFmtId="9" fontId="24" fillId="2" borderId="0" applyFont="0" applyFill="0" applyBorder="0" applyAlignment="0" applyProtection="0"/>
  </cellStyleXfs>
  <cellXfs count="5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5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 applyAlignment="1">
      <alignment horizontal="center"/>
    </xf>
    <xf numFmtId="10" fontId="6" fillId="2" borderId="7" xfId="0" applyNumberFormat="1" applyFont="1" applyFill="1" applyBorder="1"/>
    <xf numFmtId="0" fontId="9" fillId="2" borderId="0" xfId="0" applyFont="1" applyFill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6" xfId="0" applyFont="1" applyFill="1" applyBorder="1"/>
    <xf numFmtId="0" fontId="6" fillId="2" borderId="0" xfId="0" applyFont="1" applyFill="1"/>
    <xf numFmtId="0" fontId="6" fillId="2" borderId="6" xfId="0" applyFont="1" applyFill="1" applyBorder="1"/>
    <xf numFmtId="0" fontId="5" fillId="2" borderId="9" xfId="0" applyFont="1" applyFill="1" applyBorder="1"/>
    <xf numFmtId="0" fontId="5" fillId="2" borderId="0" xfId="0" applyFont="1" applyFill="1"/>
    <xf numFmtId="0" fontId="6" fillId="2" borderId="9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10" fontId="6" fillId="2" borderId="11" xfId="0" applyNumberFormat="1" applyFont="1" applyFill="1" applyBorder="1" applyAlignment="1">
      <alignment horizontal="center"/>
    </xf>
    <xf numFmtId="10" fontId="6" fillId="2" borderId="12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0" xfId="0" applyFont="1" applyFill="1" applyBorder="1" applyAlignment="1">
      <alignment horizontal="center" vertical="center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19" xfId="0" applyFont="1" applyFill="1" applyBorder="1" applyAlignment="1">
      <alignment horizontal="right"/>
    </xf>
    <xf numFmtId="0" fontId="13" fillId="3" borderId="20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171" fontId="11" fillId="2" borderId="24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center"/>
    </xf>
    <xf numFmtId="0" fontId="18" fillId="2" borderId="11" xfId="0" applyFont="1" applyFill="1" applyBorder="1"/>
    <xf numFmtId="0" fontId="11" fillId="2" borderId="22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71" fontId="11" fillId="2" borderId="29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 applyAlignment="1">
      <alignment horizontal="center"/>
    </xf>
    <xf numFmtId="0" fontId="13" fillId="3" borderId="32" xfId="0" applyFont="1" applyFill="1" applyBorder="1" applyAlignment="1" applyProtection="1">
      <alignment horizontal="center"/>
      <protection locked="0"/>
    </xf>
    <xf numFmtId="171" fontId="11" fillId="2" borderId="33" xfId="0" applyNumberFormat="1" applyFont="1" applyFill="1" applyBorder="1" applyAlignment="1">
      <alignment horizontal="center"/>
    </xf>
    <xf numFmtId="171" fontId="11" fillId="2" borderId="3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22" xfId="0" applyFont="1" applyFill="1" applyBorder="1" applyAlignment="1">
      <alignment horizontal="right"/>
    </xf>
    <xf numFmtId="1" fontId="12" fillId="6" borderId="35" xfId="0" applyNumberFormat="1" applyFont="1" applyFill="1" applyBorder="1" applyAlignment="1">
      <alignment horizontal="center"/>
    </xf>
    <xf numFmtId="171" fontId="12" fillId="6" borderId="3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3" fillId="3" borderId="14" xfId="0" applyFont="1" applyFill="1" applyBorder="1" applyAlignment="1" applyProtection="1">
      <alignment horizontal="center"/>
      <protection locked="0"/>
    </xf>
    <xf numFmtId="0" fontId="11" fillId="2" borderId="9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5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166" fontId="13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3" xfId="0" applyFont="1" applyFill="1" applyBorder="1" applyAlignment="1">
      <alignment horizontal="right"/>
    </xf>
    <xf numFmtId="2" fontId="11" fillId="6" borderId="13" xfId="0" applyNumberFormat="1" applyFont="1" applyFill="1" applyBorder="1" applyAlignment="1">
      <alignment horizontal="center"/>
    </xf>
    <xf numFmtId="171" fontId="12" fillId="7" borderId="1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3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center"/>
      <protection locked="0"/>
    </xf>
    <xf numFmtId="10" fontId="11" fillId="2" borderId="11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/>
    </xf>
    <xf numFmtId="2" fontId="14" fillId="2" borderId="4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10" fontId="13" fillId="7" borderId="31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0" fontId="13" fillId="7" borderId="4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7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171" fontId="12" fillId="6" borderId="13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3" fillId="3" borderId="50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2" fontId="11" fillId="6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5" xfId="0" applyNumberFormat="1" applyFont="1" applyFill="1" applyBorder="1" applyAlignment="1">
      <alignment horizontal="center"/>
    </xf>
    <xf numFmtId="166" fontId="11" fillId="6" borderId="25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right"/>
    </xf>
    <xf numFmtId="171" fontId="12" fillId="7" borderId="1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2" fillId="6" borderId="39" xfId="0" applyNumberFormat="1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3" fillId="3" borderId="33" xfId="0" applyNumberFormat="1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5" xfId="0" applyNumberFormat="1" applyFont="1" applyFill="1" applyBorder="1" applyAlignment="1">
      <alignment horizontal="center"/>
    </xf>
    <xf numFmtId="0" fontId="11" fillId="2" borderId="21" xfId="0" applyFont="1" applyFill="1" applyBorder="1"/>
    <xf numFmtId="10" fontId="13" fillId="6" borderId="25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1" fillId="2" borderId="54" xfId="0" applyFont="1" applyFill="1" applyBorder="1" applyAlignment="1">
      <alignment horizontal="right"/>
    </xf>
    <xf numFmtId="0" fontId="13" fillId="7" borderId="15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/>
    <xf numFmtId="0" fontId="11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6" xfId="0" applyFont="1" applyFill="1" applyBorder="1"/>
    <xf numFmtId="0" fontId="11" fillId="2" borderId="6" xfId="0" applyFont="1" applyFill="1" applyBorder="1"/>
    <xf numFmtId="0" fontId="12" fillId="2" borderId="9" xfId="0" applyFont="1" applyFill="1" applyBorder="1"/>
    <xf numFmtId="0" fontId="11" fillId="2" borderId="9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1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1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0" fontId="13" fillId="6" borderId="55" xfId="0" applyNumberFormat="1" applyFont="1" applyFill="1" applyBorder="1" applyAlignment="1">
      <alignment horizontal="center"/>
    </xf>
    <xf numFmtId="166" fontId="11" fillId="2" borderId="24" xfId="0" applyNumberFormat="1" applyFont="1" applyFill="1" applyBorder="1" applyAlignment="1">
      <alignment horizontal="center"/>
    </xf>
    <xf numFmtId="166" fontId="11" fillId="2" borderId="29" xfId="0" applyNumberFormat="1" applyFont="1" applyFill="1" applyBorder="1" applyAlignment="1">
      <alignment horizontal="center"/>
    </xf>
    <xf numFmtId="166" fontId="11" fillId="2" borderId="33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3" fillId="7" borderId="25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19" xfId="0" applyFont="1" applyFill="1" applyBorder="1" applyAlignment="1">
      <alignment horizontal="right"/>
    </xf>
    <xf numFmtId="0" fontId="13" fillId="3" borderId="20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171" fontId="11" fillId="2" borderId="24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center"/>
    </xf>
    <xf numFmtId="0" fontId="18" fillId="2" borderId="11" xfId="0" applyFont="1" applyFill="1" applyBorder="1"/>
    <xf numFmtId="0" fontId="11" fillId="2" borderId="22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71" fontId="11" fillId="2" borderId="29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 applyAlignment="1">
      <alignment horizontal="center"/>
    </xf>
    <xf numFmtId="0" fontId="13" fillId="3" borderId="32" xfId="0" applyFont="1" applyFill="1" applyBorder="1" applyAlignment="1" applyProtection="1">
      <alignment horizontal="center"/>
      <protection locked="0"/>
    </xf>
    <xf numFmtId="171" fontId="11" fillId="2" borderId="33" xfId="0" applyNumberFormat="1" applyFont="1" applyFill="1" applyBorder="1" applyAlignment="1">
      <alignment horizontal="center"/>
    </xf>
    <xf numFmtId="171" fontId="11" fillId="2" borderId="3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22" xfId="0" applyFont="1" applyFill="1" applyBorder="1" applyAlignment="1">
      <alignment horizontal="right"/>
    </xf>
    <xf numFmtId="1" fontId="12" fillId="6" borderId="35" xfId="0" applyNumberFormat="1" applyFont="1" applyFill="1" applyBorder="1" applyAlignment="1">
      <alignment horizontal="center"/>
    </xf>
    <xf numFmtId="171" fontId="12" fillId="6" borderId="36" xfId="0" applyNumberFormat="1" applyFont="1" applyFill="1" applyBorder="1" applyAlignment="1">
      <alignment horizontal="center"/>
    </xf>
    <xf numFmtId="171" fontId="12" fillId="6" borderId="3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3" fillId="3" borderId="14" xfId="0" applyFont="1" applyFill="1" applyBorder="1" applyAlignment="1" applyProtection="1">
      <alignment horizontal="center"/>
      <protection locked="0"/>
    </xf>
    <xf numFmtId="0" fontId="11" fillId="2" borderId="9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5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166" fontId="13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3" xfId="0" applyFont="1" applyFill="1" applyBorder="1" applyAlignment="1">
      <alignment horizontal="right"/>
    </xf>
    <xf numFmtId="2" fontId="11" fillId="6" borderId="13" xfId="0" applyNumberFormat="1" applyFont="1" applyFill="1" applyBorder="1" applyAlignment="1">
      <alignment horizontal="center"/>
    </xf>
    <xf numFmtId="171" fontId="12" fillId="7" borderId="1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3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center"/>
      <protection locked="0"/>
    </xf>
    <xf numFmtId="10" fontId="11" fillId="2" borderId="11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/>
    </xf>
    <xf numFmtId="2" fontId="14" fillId="2" borderId="4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10" fontId="13" fillId="7" borderId="31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0" fontId="13" fillId="7" borderId="4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7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171" fontId="12" fillId="6" borderId="13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3" fillId="3" borderId="50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2" fontId="11" fillId="6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5" xfId="0" applyNumberFormat="1" applyFont="1" applyFill="1" applyBorder="1" applyAlignment="1">
      <alignment horizontal="center"/>
    </xf>
    <xf numFmtId="166" fontId="11" fillId="6" borderId="25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right"/>
    </xf>
    <xf numFmtId="171" fontId="12" fillId="7" borderId="1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2" fillId="6" borderId="39" xfId="0" applyNumberFormat="1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3" fillId="3" borderId="33" xfId="0" applyNumberFormat="1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3" fillId="7" borderId="25" xfId="0" applyNumberFormat="1" applyFont="1" applyFill="1" applyBorder="1" applyAlignment="1">
      <alignment horizontal="center"/>
    </xf>
    <xf numFmtId="0" fontId="11" fillId="2" borderId="21" xfId="0" applyFont="1" applyFill="1" applyBorder="1"/>
    <xf numFmtId="10" fontId="13" fillId="6" borderId="25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3" fillId="7" borderId="15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/>
    <xf numFmtId="0" fontId="11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6" xfId="0" applyFont="1" applyFill="1" applyBorder="1"/>
    <xf numFmtId="0" fontId="11" fillId="2" borderId="6" xfId="0" applyFont="1" applyFill="1" applyBorder="1"/>
    <xf numFmtId="0" fontId="12" fillId="2" borderId="9" xfId="0" applyFont="1" applyFill="1" applyBorder="1"/>
    <xf numFmtId="0" fontId="11" fillId="2" borderId="9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1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1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0" fontId="13" fillId="6" borderId="55" xfId="0" applyNumberFormat="1" applyFont="1" applyFill="1" applyBorder="1" applyAlignment="1">
      <alignment horizontal="center"/>
    </xf>
    <xf numFmtId="166" fontId="11" fillId="2" borderId="24" xfId="0" applyNumberFormat="1" applyFont="1" applyFill="1" applyBorder="1" applyAlignment="1">
      <alignment horizontal="center"/>
    </xf>
    <xf numFmtId="166" fontId="11" fillId="2" borderId="29" xfId="0" applyNumberFormat="1" applyFont="1" applyFill="1" applyBorder="1" applyAlignment="1">
      <alignment horizontal="center"/>
    </xf>
    <xf numFmtId="166" fontId="11" fillId="2" borderId="33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3" fillId="7" borderId="25" xfId="0" applyNumberFormat="1" applyFont="1" applyFill="1" applyBorder="1" applyAlignment="1">
      <alignment horizontal="center"/>
    </xf>
    <xf numFmtId="0" fontId="14" fillId="2" borderId="0" xfId="0" applyFont="1" applyFill="1"/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0" fontId="11" fillId="2" borderId="0" xfId="0" applyFont="1" applyFill="1" applyBorder="1"/>
    <xf numFmtId="0" fontId="5" fillId="2" borderId="5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8" fillId="2" borderId="20" xfId="0" applyFont="1" applyFill="1" applyBorder="1"/>
    <xf numFmtId="0" fontId="5" fillId="2" borderId="4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2" fillId="2" borderId="60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3" fillId="3" borderId="62" xfId="0" applyFont="1" applyFill="1" applyBorder="1" applyAlignment="1" applyProtection="1">
      <alignment horizontal="center"/>
      <protection locked="0"/>
    </xf>
    <xf numFmtId="171" fontId="11" fillId="2" borderId="63" xfId="0" applyNumberFormat="1" applyFont="1" applyFill="1" applyBorder="1" applyAlignment="1">
      <alignment horizontal="center"/>
    </xf>
    <xf numFmtId="0" fontId="13" fillId="3" borderId="64" xfId="0" applyFont="1" applyFill="1" applyBorder="1" applyAlignment="1" applyProtection="1">
      <alignment horizontal="center"/>
      <protection locked="0"/>
    </xf>
    <xf numFmtId="171" fontId="11" fillId="2" borderId="65" xfId="0" applyNumberFormat="1" applyFont="1" applyFill="1" applyBorder="1" applyAlignment="1">
      <alignment horizontal="center"/>
    </xf>
    <xf numFmtId="0" fontId="13" fillId="3" borderId="66" xfId="0" applyFont="1" applyFill="1" applyBorder="1" applyAlignment="1" applyProtection="1">
      <alignment horizontal="center"/>
      <protection locked="0"/>
    </xf>
    <xf numFmtId="171" fontId="11" fillId="2" borderId="67" xfId="0" applyNumberFormat="1" applyFont="1" applyFill="1" applyBorder="1" applyAlignment="1">
      <alignment horizontal="center"/>
    </xf>
    <xf numFmtId="1" fontId="12" fillId="6" borderId="68" xfId="0" applyNumberFormat="1" applyFont="1" applyFill="1" applyBorder="1" applyAlignment="1">
      <alignment horizontal="center"/>
    </xf>
    <xf numFmtId="171" fontId="12" fillId="6" borderId="69" xfId="0" applyNumberFormat="1" applyFont="1" applyFill="1" applyBorder="1" applyAlignment="1">
      <alignment horizontal="center"/>
    </xf>
    <xf numFmtId="10" fontId="5" fillId="5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165" fontId="5" fillId="2" borderId="73" xfId="0" applyNumberFormat="1" applyFont="1" applyFill="1" applyBorder="1" applyAlignment="1">
      <alignment horizontal="center"/>
    </xf>
    <xf numFmtId="165" fontId="5" fillId="2" borderId="74" xfId="0" applyNumberFormat="1" applyFont="1" applyFill="1" applyBorder="1" applyAlignment="1">
      <alignment horizontal="center"/>
    </xf>
    <xf numFmtId="0" fontId="6" fillId="2" borderId="74" xfId="0" applyFont="1" applyFill="1" applyBorder="1"/>
    <xf numFmtId="0" fontId="2" fillId="2" borderId="75" xfId="0" applyFont="1" applyFill="1" applyBorder="1"/>
    <xf numFmtId="0" fontId="5" fillId="2" borderId="76" xfId="0" applyFont="1" applyFill="1" applyBorder="1" applyAlignment="1">
      <alignment horizontal="center"/>
    </xf>
    <xf numFmtId="0" fontId="6" fillId="2" borderId="77" xfId="0" applyFont="1" applyFill="1" applyBorder="1"/>
    <xf numFmtId="0" fontId="2" fillId="2" borderId="78" xfId="0" applyFont="1" applyFill="1" applyBorder="1"/>
    <xf numFmtId="2" fontId="6" fillId="3" borderId="12" xfId="0" applyNumberFormat="1" applyFont="1" applyFill="1" applyBorder="1" applyAlignment="1" applyProtection="1">
      <alignment horizontal="center"/>
      <protection locked="0"/>
    </xf>
    <xf numFmtId="174" fontId="1" fillId="2" borderId="9" xfId="0" applyNumberFormat="1" applyFont="1" applyFill="1" applyBorder="1" applyAlignment="1">
      <alignment horizontal="center"/>
    </xf>
    <xf numFmtId="173" fontId="7" fillId="3" borderId="4" xfId="3" applyNumberFormat="1" applyFont="1" applyFill="1" applyBorder="1" applyAlignment="1" applyProtection="1">
      <alignment horizontal="center"/>
      <protection locked="0"/>
    </xf>
    <xf numFmtId="173" fontId="7" fillId="3" borderId="3" xfId="3" applyNumberFormat="1" applyFont="1" applyFill="1" applyBorder="1" applyAlignment="1" applyProtection="1">
      <alignment horizontal="center"/>
      <protection locked="0"/>
    </xf>
    <xf numFmtId="173" fontId="7" fillId="3" borderId="5" xfId="3" applyNumberFormat="1" applyFont="1" applyFill="1" applyBorder="1" applyAlignment="1" applyProtection="1">
      <alignment horizontal="center"/>
      <protection locked="0"/>
    </xf>
    <xf numFmtId="173" fontId="7" fillId="3" borderId="4" xfId="3" applyNumberFormat="1" applyFont="1" applyFill="1" applyBorder="1" applyAlignment="1" applyProtection="1">
      <alignment horizontal="center"/>
      <protection locked="0"/>
    </xf>
    <xf numFmtId="173" fontId="7" fillId="3" borderId="3" xfId="3" applyNumberFormat="1" applyFont="1" applyFill="1" applyBorder="1" applyAlignment="1" applyProtection="1">
      <alignment horizontal="center"/>
      <protection locked="0"/>
    </xf>
    <xf numFmtId="173" fontId="7" fillId="3" borderId="5" xfId="3" applyNumberFormat="1" applyFont="1" applyFill="1" applyBorder="1" applyAlignment="1" applyProtection="1">
      <alignment horizontal="center"/>
      <protection locked="0"/>
    </xf>
    <xf numFmtId="2" fontId="6" fillId="3" borderId="13" xfId="0" applyNumberFormat="1" applyFont="1" applyFill="1" applyBorder="1" applyAlignment="1" applyProtection="1">
      <alignment horizontal="center"/>
      <protection locked="0"/>
    </xf>
    <xf numFmtId="171" fontId="6" fillId="2" borderId="10" xfId="0" applyNumberFormat="1" applyFont="1" applyFill="1" applyBorder="1" applyAlignment="1">
      <alignment horizontal="center" vertical="center"/>
    </xf>
    <xf numFmtId="171" fontId="5" fillId="2" borderId="10" xfId="0" applyNumberFormat="1" applyFont="1" applyFill="1" applyBorder="1" applyAlignment="1">
      <alignment horizontal="center" vertical="center"/>
    </xf>
    <xf numFmtId="174" fontId="5" fillId="2" borderId="9" xfId="0" applyNumberFormat="1" applyFont="1" applyFill="1" applyBorder="1"/>
    <xf numFmtId="10" fontId="6" fillId="8" borderId="13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10" fontId="2" fillId="2" borderId="0" xfId="1" applyNumberFormat="1" applyFont="1" applyFill="1" applyAlignment="1">
      <alignment horizontal="center"/>
    </xf>
    <xf numFmtId="10" fontId="5" fillId="2" borderId="0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41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justify" vertical="center" wrapText="1"/>
    </xf>
    <xf numFmtId="0" fontId="19" fillId="2" borderId="17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19" fillId="2" borderId="17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10" fontId="15" fillId="2" borderId="12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3" fillId="3" borderId="11" xfId="0" applyNumberFormat="1" applyFont="1" applyFill="1" applyBorder="1" applyAlignment="1" applyProtection="1">
      <alignment horizontal="center" vertical="center"/>
      <protection locked="0"/>
    </xf>
    <xf numFmtId="2" fontId="13" fillId="3" borderId="12" xfId="0" applyNumberFormat="1" applyFont="1" applyFill="1" applyBorder="1" applyAlignment="1" applyProtection="1">
      <alignment horizontal="center" vertical="center"/>
      <protection locked="0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22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70" xfId="0" applyFont="1" applyFill="1" applyBorder="1" applyAlignment="1">
      <alignment horizontal="justify" vertical="center" wrapText="1"/>
    </xf>
    <xf numFmtId="0" fontId="19" fillId="2" borderId="71" xfId="0" applyFont="1" applyFill="1" applyBorder="1" applyAlignment="1">
      <alignment horizontal="justify" vertical="center" wrapText="1"/>
    </xf>
    <xf numFmtId="0" fontId="19" fillId="2" borderId="72" xfId="0" applyFont="1" applyFill="1" applyBorder="1" applyAlignment="1">
      <alignment horizontal="justify" vertical="center" wrapText="1"/>
    </xf>
    <xf numFmtId="0" fontId="19" fillId="2" borderId="70" xfId="0" applyFont="1" applyFill="1" applyBorder="1" applyAlignment="1">
      <alignment horizontal="left" vertical="center" wrapText="1"/>
    </xf>
    <xf numFmtId="0" fontId="19" fillId="2" borderId="71" xfId="0" applyFont="1" applyFill="1" applyBorder="1" applyAlignment="1">
      <alignment horizontal="left" vertical="center" wrapText="1"/>
    </xf>
    <xf numFmtId="0" fontId="19" fillId="2" borderId="72" xfId="0" applyFont="1" applyFill="1" applyBorder="1" applyAlignment="1">
      <alignment horizontal="left" vertical="center" wrapText="1"/>
    </xf>
    <xf numFmtId="0" fontId="12" fillId="2" borderId="38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6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1" fontId="11" fillId="2" borderId="24" xfId="0" applyNumberFormat="1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11" fillId="2" borderId="79" xfId="0" applyFont="1" applyFill="1" applyBorder="1" applyAlignment="1">
      <alignment horizontal="right"/>
    </xf>
    <xf numFmtId="1" fontId="13" fillId="7" borderId="15" xfId="0" applyNumberFormat="1" applyFont="1" applyFill="1" applyBorder="1" applyAlignment="1">
      <alignment horizontal="center"/>
    </xf>
    <xf numFmtId="174" fontId="12" fillId="2" borderId="9" xfId="0" applyNumberFormat="1" applyFont="1" applyFill="1" applyBorder="1" applyAlignment="1">
      <alignment horizontal="center"/>
    </xf>
    <xf numFmtId="10" fontId="2" fillId="2" borderId="0" xfId="1" applyNumberFormat="1" applyFont="1" applyFill="1"/>
  </cellXfs>
  <cellStyles count="6">
    <cellStyle name="Comma 2" xfId="4"/>
    <cellStyle name="Normal" xfId="0" builtinId="0"/>
    <cellStyle name="Normal 2" xfId="3"/>
    <cellStyle name="Normal 3" xfId="2"/>
    <cellStyle name="Percent" xfId="1" builtinId="5"/>
    <cellStyle name="Percent 2" xf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85" workbookViewId="0">
      <selection activeCell="E40" sqref="E4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86" t="s">
        <v>0</v>
      </c>
      <c r="B15" s="486"/>
      <c r="C15" s="486"/>
      <c r="D15" s="486"/>
      <c r="E15" s="4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3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20.49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B20/25*10/50</f>
        <v>0.16391999999999995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  <c r="F23" s="16" t="s">
        <v>126</v>
      </c>
    </row>
    <row r="24" spans="1:6" ht="16.5" customHeight="1" x14ac:dyDescent="0.3">
      <c r="A24" s="17">
        <v>1</v>
      </c>
      <c r="B24" s="18">
        <v>128878758</v>
      </c>
      <c r="C24" s="18">
        <v>11212.5</v>
      </c>
      <c r="D24" s="19">
        <v>1</v>
      </c>
      <c r="E24" s="20">
        <v>7.8</v>
      </c>
      <c r="F24" s="472">
        <v>15.6</v>
      </c>
    </row>
    <row r="25" spans="1:6" ht="16.5" customHeight="1" x14ac:dyDescent="0.3">
      <c r="A25" s="17">
        <v>2</v>
      </c>
      <c r="B25" s="18">
        <v>129078980</v>
      </c>
      <c r="C25" s="18">
        <v>11206.3</v>
      </c>
      <c r="D25" s="19">
        <v>1</v>
      </c>
      <c r="E25" s="19">
        <v>7.8</v>
      </c>
      <c r="F25" s="473">
        <v>15.7</v>
      </c>
    </row>
    <row r="26" spans="1:6" ht="16.5" customHeight="1" x14ac:dyDescent="0.3">
      <c r="A26" s="17">
        <v>3</v>
      </c>
      <c r="B26" s="18">
        <v>129419325</v>
      </c>
      <c r="C26" s="18">
        <v>11213.7</v>
      </c>
      <c r="D26" s="19">
        <v>1</v>
      </c>
      <c r="E26" s="19">
        <v>7.8</v>
      </c>
      <c r="F26" s="473">
        <v>15.6</v>
      </c>
    </row>
    <row r="27" spans="1:6" ht="16.5" customHeight="1" x14ac:dyDescent="0.3">
      <c r="A27" s="17">
        <v>4</v>
      </c>
      <c r="B27" s="18">
        <v>129453116</v>
      </c>
      <c r="C27" s="18">
        <v>11225.3</v>
      </c>
      <c r="D27" s="19">
        <v>1</v>
      </c>
      <c r="E27" s="19">
        <v>7.8</v>
      </c>
      <c r="F27" s="473">
        <v>15.7</v>
      </c>
    </row>
    <row r="28" spans="1:6" ht="16.5" customHeight="1" x14ac:dyDescent="0.3">
      <c r="A28" s="17">
        <v>5</v>
      </c>
      <c r="B28" s="18">
        <v>129436794</v>
      </c>
      <c r="C28" s="18">
        <v>11227</v>
      </c>
      <c r="D28" s="19">
        <v>1</v>
      </c>
      <c r="E28" s="19">
        <v>7.8</v>
      </c>
      <c r="F28" s="473">
        <v>15.6</v>
      </c>
    </row>
    <row r="29" spans="1:6" ht="16.5" customHeight="1" x14ac:dyDescent="0.3">
      <c r="A29" s="17">
        <v>6</v>
      </c>
      <c r="B29" s="21">
        <v>129462891</v>
      </c>
      <c r="C29" s="21">
        <v>11223.9</v>
      </c>
      <c r="D29" s="22">
        <v>1</v>
      </c>
      <c r="E29" s="22">
        <v>7.8</v>
      </c>
      <c r="F29" s="474">
        <v>15.7</v>
      </c>
    </row>
    <row r="30" spans="1:6" ht="16.5" customHeight="1" x14ac:dyDescent="0.3">
      <c r="A30" s="23" t="s">
        <v>17</v>
      </c>
      <c r="B30" s="24">
        <f>AVERAGE(B24:B29)</f>
        <v>129288310.66666667</v>
      </c>
      <c r="C30" s="461">
        <f>AVERAGE(C24:C29)</f>
        <v>11218.116666666667</v>
      </c>
      <c r="D30" s="462">
        <f>AVERAGE(D24:D29)</f>
        <v>1</v>
      </c>
      <c r="E30" s="462">
        <f>AVERAGE(E24:E29)</f>
        <v>7.8</v>
      </c>
      <c r="F30" s="462">
        <f>AVERAGE(F24:F29)</f>
        <v>15.649999999999999</v>
      </c>
    </row>
    <row r="31" spans="1:6" ht="16.5" customHeight="1" x14ac:dyDescent="0.3">
      <c r="A31" s="25" t="s">
        <v>18</v>
      </c>
      <c r="B31" s="459">
        <f>(STDEV(B24:B29)/B30)</f>
        <v>1.9209481404733305E-3</v>
      </c>
      <c r="C31" s="463"/>
      <c r="D31" s="464"/>
      <c r="E31" s="465"/>
      <c r="F31" s="466"/>
    </row>
    <row r="32" spans="1:6" s="2" customFormat="1" ht="16.5" customHeight="1" x14ac:dyDescent="0.3">
      <c r="A32" s="26" t="s">
        <v>19</v>
      </c>
      <c r="B32" s="460">
        <f>COUNT(B24:B29)</f>
        <v>6</v>
      </c>
      <c r="C32" s="467"/>
      <c r="D32" s="468"/>
      <c r="E32" s="468"/>
      <c r="F32" s="469"/>
    </row>
    <row r="33" spans="1:9" s="2" customFormat="1" ht="15.75" customHeight="1" x14ac:dyDescent="0.3">
      <c r="A33" s="10"/>
      <c r="B33" s="10"/>
      <c r="C33" s="10"/>
      <c r="D33" s="10"/>
      <c r="E33" s="27"/>
    </row>
    <row r="34" spans="1:9" s="2" customFormat="1" ht="16.5" customHeight="1" x14ac:dyDescent="0.3">
      <c r="A34" s="11" t="s">
        <v>20</v>
      </c>
      <c r="B34" s="28" t="s">
        <v>21</v>
      </c>
      <c r="C34" s="29"/>
      <c r="D34" s="29"/>
      <c r="E34" s="30"/>
    </row>
    <row r="35" spans="1:9" ht="16.5" customHeight="1" x14ac:dyDescent="0.3">
      <c r="A35" s="11"/>
      <c r="B35" s="28" t="s">
        <v>22</v>
      </c>
      <c r="C35" s="29"/>
      <c r="D35" s="29"/>
      <c r="E35" s="30"/>
      <c r="F35" s="2"/>
    </row>
    <row r="36" spans="1:9" ht="16.5" customHeight="1" x14ac:dyDescent="0.3">
      <c r="A36" s="11"/>
      <c r="B36" s="31" t="s">
        <v>23</v>
      </c>
      <c r="C36" s="29"/>
      <c r="D36" s="29"/>
      <c r="E36" s="29"/>
    </row>
    <row r="37" spans="1:9" s="35" customFormat="1" ht="16.5" customHeight="1" x14ac:dyDescent="0.3">
      <c r="A37" s="66"/>
      <c r="B37" s="31" t="s">
        <v>127</v>
      </c>
      <c r="C37" s="30"/>
      <c r="D37" s="30"/>
      <c r="E37" s="30"/>
      <c r="F37" s="389"/>
      <c r="G37" s="389"/>
      <c r="H37" s="389"/>
      <c r="I37" s="389"/>
    </row>
    <row r="38" spans="1:9" ht="15.75" customHeight="1" x14ac:dyDescent="0.3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/>
    </row>
    <row r="40" spans="1:9" ht="16.5" customHeight="1" x14ac:dyDescent="0.3">
      <c r="A40" s="11" t="s">
        <v>4</v>
      </c>
      <c r="B40" s="9" t="s">
        <v>123</v>
      </c>
      <c r="C40" s="10"/>
      <c r="D40" s="10"/>
      <c r="E40" s="10"/>
    </row>
    <row r="41" spans="1:9" ht="16.5" customHeight="1" x14ac:dyDescent="0.3">
      <c r="A41" s="11" t="s">
        <v>6</v>
      </c>
      <c r="B41" s="12">
        <v>99.3</v>
      </c>
      <c r="C41" s="10"/>
      <c r="D41" s="10"/>
      <c r="E41" s="10"/>
    </row>
    <row r="42" spans="1:9" ht="16.5" customHeight="1" x14ac:dyDescent="0.3">
      <c r="A42" s="7" t="s">
        <v>8</v>
      </c>
      <c r="B42" s="12">
        <v>26.55</v>
      </c>
      <c r="C42" s="10"/>
      <c r="D42" s="10"/>
      <c r="E42" s="10"/>
    </row>
    <row r="43" spans="1:9" ht="16.5" customHeight="1" x14ac:dyDescent="0.3">
      <c r="A43" s="7" t="s">
        <v>9</v>
      </c>
      <c r="B43" s="13">
        <f>B42/25*2/50</f>
        <v>4.2480000000000004E-2</v>
      </c>
      <c r="C43" s="10"/>
      <c r="D43" s="10"/>
      <c r="E43" s="10"/>
    </row>
    <row r="44" spans="1:9" ht="15.75" customHeight="1" x14ac:dyDescent="0.3">
      <c r="A44" s="10"/>
      <c r="B44" s="10"/>
      <c r="C44" s="10"/>
      <c r="D44" s="10"/>
      <c r="E44" s="10"/>
    </row>
    <row r="45" spans="1:9" ht="16.5" customHeight="1" x14ac:dyDescent="0.3">
      <c r="A45" s="14" t="s">
        <v>12</v>
      </c>
      <c r="B45" s="15" t="s">
        <v>13</v>
      </c>
      <c r="C45" s="14" t="s">
        <v>14</v>
      </c>
      <c r="D45" s="14" t="s">
        <v>15</v>
      </c>
      <c r="E45" s="16" t="s">
        <v>16</v>
      </c>
      <c r="F45" s="16" t="s">
        <v>126</v>
      </c>
    </row>
    <row r="46" spans="1:9" ht="16.5" customHeight="1" x14ac:dyDescent="0.3">
      <c r="A46" s="17">
        <v>1</v>
      </c>
      <c r="B46" s="18">
        <v>12754878</v>
      </c>
      <c r="C46" s="18">
        <v>8286.1</v>
      </c>
      <c r="D46" s="19">
        <v>1.1000000000000001</v>
      </c>
      <c r="E46" s="20">
        <v>4.0999999999999996</v>
      </c>
      <c r="F46" s="475">
        <v>15.6</v>
      </c>
    </row>
    <row r="47" spans="1:9" ht="16.5" customHeight="1" x14ac:dyDescent="0.3">
      <c r="A47" s="17">
        <v>2</v>
      </c>
      <c r="B47" s="18">
        <v>12768826</v>
      </c>
      <c r="C47" s="18">
        <v>8355.2000000000007</v>
      </c>
      <c r="D47" s="19">
        <v>1.1000000000000001</v>
      </c>
      <c r="E47" s="19">
        <v>4.0999999999999996</v>
      </c>
      <c r="F47" s="476">
        <v>15.7</v>
      </c>
    </row>
    <row r="48" spans="1:9" ht="16.5" customHeight="1" x14ac:dyDescent="0.3">
      <c r="A48" s="17">
        <v>3</v>
      </c>
      <c r="B48" s="18">
        <v>12797469</v>
      </c>
      <c r="C48" s="18">
        <v>8279.5</v>
      </c>
      <c r="D48" s="19">
        <v>1.1000000000000001</v>
      </c>
      <c r="E48" s="19">
        <v>4.0999999999999996</v>
      </c>
      <c r="F48" s="476">
        <v>15.6</v>
      </c>
    </row>
    <row r="49" spans="1:7" ht="16.5" customHeight="1" x14ac:dyDescent="0.3">
      <c r="A49" s="17">
        <v>4</v>
      </c>
      <c r="B49" s="18">
        <v>12804055</v>
      </c>
      <c r="C49" s="18">
        <v>8362</v>
      </c>
      <c r="D49" s="19">
        <v>1.2</v>
      </c>
      <c r="E49" s="19">
        <v>4.0999999999999996</v>
      </c>
      <c r="F49" s="476">
        <v>15.7</v>
      </c>
    </row>
    <row r="50" spans="1:7" ht="16.5" customHeight="1" x14ac:dyDescent="0.3">
      <c r="A50" s="17">
        <v>5</v>
      </c>
      <c r="B50" s="18">
        <v>12796383</v>
      </c>
      <c r="C50" s="18">
        <v>8284.2999999999993</v>
      </c>
      <c r="D50" s="19">
        <v>1.1000000000000001</v>
      </c>
      <c r="E50" s="19">
        <v>4.0999999999999996</v>
      </c>
      <c r="F50" s="476">
        <v>15.6</v>
      </c>
    </row>
    <row r="51" spans="1:7" ht="16.5" customHeight="1" x14ac:dyDescent="0.3">
      <c r="A51" s="17">
        <v>6</v>
      </c>
      <c r="B51" s="21">
        <v>12795080</v>
      </c>
      <c r="C51" s="21">
        <v>8298.2000000000007</v>
      </c>
      <c r="D51" s="22">
        <v>1.1000000000000001</v>
      </c>
      <c r="E51" s="22">
        <v>4.0999999999999996</v>
      </c>
      <c r="F51" s="477">
        <v>15.7</v>
      </c>
    </row>
    <row r="52" spans="1:7" ht="16.5" customHeight="1" x14ac:dyDescent="0.3">
      <c r="A52" s="23" t="s">
        <v>17</v>
      </c>
      <c r="B52" s="24">
        <f>AVERAGE(B46:B51)</f>
        <v>12786115.166666666</v>
      </c>
      <c r="C52" s="461">
        <f>AVERAGE(C46:C51)</f>
        <v>8310.8833333333332</v>
      </c>
      <c r="D52" s="462">
        <f>AVERAGE(D46:D51)</f>
        <v>1.1166666666666665</v>
      </c>
      <c r="E52" s="462">
        <f>AVERAGE(E46:E51)</f>
        <v>4.1000000000000005</v>
      </c>
      <c r="F52" s="462">
        <f>AVERAGE(F46:F51)</f>
        <v>15.649999999999999</v>
      </c>
    </row>
    <row r="53" spans="1:7" ht="16.5" customHeight="1" x14ac:dyDescent="0.3">
      <c r="A53" s="25" t="s">
        <v>18</v>
      </c>
      <c r="B53" s="459">
        <f>(STDEV(B46:B51)/B52)</f>
        <v>1.5290852093817445E-3</v>
      </c>
      <c r="C53" s="463"/>
      <c r="D53" s="464"/>
      <c r="E53" s="465"/>
      <c r="F53" s="466"/>
    </row>
    <row r="54" spans="1:7" s="2" customFormat="1" ht="16.5" customHeight="1" x14ac:dyDescent="0.3">
      <c r="A54" s="26" t="s">
        <v>19</v>
      </c>
      <c r="B54" s="460">
        <f>COUNT(B46:B51)</f>
        <v>6</v>
      </c>
      <c r="C54" s="467"/>
      <c r="D54" s="468"/>
      <c r="E54" s="468"/>
      <c r="F54" s="469"/>
    </row>
    <row r="55" spans="1:7" s="2" customFormat="1" ht="15.75" customHeight="1" x14ac:dyDescent="0.3">
      <c r="A55" s="10"/>
      <c r="B55" s="10"/>
      <c r="C55" s="10"/>
      <c r="D55" s="10"/>
      <c r="E55" s="27"/>
    </row>
    <row r="56" spans="1:7" s="2" customFormat="1" ht="16.5" customHeight="1" x14ac:dyDescent="0.3">
      <c r="A56" s="11" t="s">
        <v>20</v>
      </c>
      <c r="B56" s="28" t="s">
        <v>21</v>
      </c>
      <c r="C56" s="29"/>
      <c r="D56" s="29"/>
      <c r="E56" s="30"/>
    </row>
    <row r="57" spans="1:7" ht="16.5" customHeight="1" x14ac:dyDescent="0.3">
      <c r="A57" s="11"/>
      <c r="B57" s="28" t="s">
        <v>22</v>
      </c>
      <c r="C57" s="29"/>
      <c r="D57" s="29"/>
      <c r="E57" s="30"/>
      <c r="F57" s="2"/>
    </row>
    <row r="58" spans="1:7" ht="16.5" customHeight="1" x14ac:dyDescent="0.3">
      <c r="A58" s="11"/>
      <c r="B58" s="31" t="s">
        <v>23</v>
      </c>
      <c r="C58" s="29"/>
      <c r="D58" s="30"/>
      <c r="E58" s="29"/>
    </row>
    <row r="59" spans="1:7" ht="14.25" customHeight="1" x14ac:dyDescent="0.3">
      <c r="A59" s="32"/>
      <c r="B59" s="33"/>
      <c r="D59" s="34"/>
      <c r="F59" s="35"/>
      <c r="G59" s="35"/>
    </row>
    <row r="60" spans="1:7" ht="15" customHeight="1" x14ac:dyDescent="0.3">
      <c r="B60" s="487" t="s">
        <v>24</v>
      </c>
      <c r="C60" s="487"/>
      <c r="E60" s="36" t="s">
        <v>25</v>
      </c>
      <c r="F60" s="37"/>
      <c r="G60" s="36" t="s">
        <v>26</v>
      </c>
    </row>
    <row r="61" spans="1:7" ht="15" customHeight="1" x14ac:dyDescent="0.3">
      <c r="A61" s="38" t="s">
        <v>27</v>
      </c>
      <c r="B61" s="39"/>
      <c r="C61" s="39"/>
      <c r="E61" s="39"/>
      <c r="F61" s="2"/>
      <c r="G61" s="40"/>
    </row>
    <row r="62" spans="1:7" ht="25.2" customHeight="1" x14ac:dyDescent="0.3">
      <c r="A62" s="38" t="s">
        <v>28</v>
      </c>
      <c r="B62" s="41"/>
      <c r="C62" s="41" t="s">
        <v>128</v>
      </c>
      <c r="E62" s="471">
        <v>42008</v>
      </c>
      <c r="F62" s="2"/>
      <c r="G62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54" sqref="D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91" t="s">
        <v>29</v>
      </c>
      <c r="B11" s="492"/>
      <c r="C11" s="492"/>
      <c r="D11" s="492"/>
      <c r="E11" s="492"/>
      <c r="F11" s="493"/>
      <c r="G11" s="79"/>
    </row>
    <row r="12" spans="1:7" ht="16.5" customHeight="1" x14ac:dyDescent="0.3">
      <c r="A12" s="490" t="s">
        <v>30</v>
      </c>
      <c r="B12" s="490"/>
      <c r="C12" s="490"/>
      <c r="D12" s="490"/>
      <c r="E12" s="490"/>
      <c r="F12" s="490"/>
      <c r="G12" s="78"/>
    </row>
    <row r="14" spans="1:7" ht="16.5" customHeight="1" x14ac:dyDescent="0.3">
      <c r="A14" s="495" t="s">
        <v>31</v>
      </c>
      <c r="B14" s="495"/>
      <c r="C14" s="51" t="s">
        <v>5</v>
      </c>
    </row>
    <row r="15" spans="1:7" ht="16.5" customHeight="1" x14ac:dyDescent="0.3">
      <c r="A15" s="495" t="s">
        <v>32</v>
      </c>
      <c r="B15" s="495"/>
      <c r="C15" s="51" t="s">
        <v>7</v>
      </c>
    </row>
    <row r="16" spans="1:7" ht="16.5" customHeight="1" x14ac:dyDescent="0.3">
      <c r="A16" s="495" t="s">
        <v>33</v>
      </c>
      <c r="B16" s="495"/>
      <c r="C16" s="51" t="s">
        <v>129</v>
      </c>
    </row>
    <row r="17" spans="1:5" ht="16.5" customHeight="1" x14ac:dyDescent="0.3">
      <c r="A17" s="495" t="s">
        <v>34</v>
      </c>
      <c r="B17" s="495"/>
      <c r="C17" s="51" t="s">
        <v>10</v>
      </c>
    </row>
    <row r="18" spans="1:5" ht="16.5" customHeight="1" x14ac:dyDescent="0.3">
      <c r="A18" s="495" t="s">
        <v>35</v>
      </c>
      <c r="B18" s="495"/>
      <c r="C18" s="83" t="s">
        <v>11</v>
      </c>
    </row>
    <row r="19" spans="1:5" ht="16.5" customHeight="1" x14ac:dyDescent="0.3">
      <c r="A19" s="495" t="s">
        <v>36</v>
      </c>
      <c r="B19" s="495"/>
      <c r="C19" s="83" t="e">
        <f>#REF!</f>
        <v>#REF!</v>
      </c>
    </row>
    <row r="20" spans="1:5" ht="16.5" customHeight="1" x14ac:dyDescent="0.3">
      <c r="A20" s="53"/>
      <c r="B20" s="53"/>
      <c r="C20" s="68"/>
    </row>
    <row r="21" spans="1:5" ht="16.5" customHeight="1" x14ac:dyDescent="0.3">
      <c r="A21" s="490" t="s">
        <v>1</v>
      </c>
      <c r="B21" s="490"/>
      <c r="C21" s="50" t="s">
        <v>37</v>
      </c>
      <c r="D21" s="57"/>
    </row>
    <row r="22" spans="1:5" ht="15.75" customHeight="1" x14ac:dyDescent="0.3">
      <c r="A22" s="494"/>
      <c r="B22" s="494"/>
      <c r="C22" s="48"/>
      <c r="D22" s="494"/>
      <c r="E22" s="494"/>
    </row>
    <row r="23" spans="1:5" ht="33.75" customHeight="1" x14ac:dyDescent="0.3">
      <c r="C23" s="75" t="s">
        <v>38</v>
      </c>
      <c r="D23" s="74" t="s">
        <v>39</v>
      </c>
      <c r="E23" s="43"/>
    </row>
    <row r="24" spans="1:5" ht="15.75" customHeight="1" x14ac:dyDescent="0.3">
      <c r="C24" s="470">
        <v>1056.05</v>
      </c>
      <c r="D24" s="76">
        <f t="shared" ref="D24:D43" si="0">(C24-$C$46)/$C$46</f>
        <v>5.5100484354869269E-3</v>
      </c>
      <c r="E24" s="44"/>
    </row>
    <row r="25" spans="1:5" ht="15.75" customHeight="1" x14ac:dyDescent="0.3">
      <c r="C25" s="470">
        <v>1043.83</v>
      </c>
      <c r="D25" s="77">
        <f t="shared" si="0"/>
        <v>-6.1251324668204245E-3</v>
      </c>
      <c r="E25" s="44"/>
    </row>
    <row r="26" spans="1:5" ht="15.75" customHeight="1" x14ac:dyDescent="0.3">
      <c r="C26" s="470">
        <v>1046.93</v>
      </c>
      <c r="D26" s="77">
        <f t="shared" si="0"/>
        <v>-3.173490830392086E-3</v>
      </c>
      <c r="E26" s="44"/>
    </row>
    <row r="27" spans="1:5" ht="15.75" customHeight="1" x14ac:dyDescent="0.3">
      <c r="C27" s="470">
        <v>1045.47</v>
      </c>
      <c r="D27" s="77">
        <f t="shared" si="0"/>
        <v>-4.5636188269034704E-3</v>
      </c>
      <c r="E27" s="44"/>
    </row>
    <row r="28" spans="1:5" ht="15.75" customHeight="1" x14ac:dyDescent="0.3">
      <c r="C28" s="470">
        <v>1039.17</v>
      </c>
      <c r="D28" s="77">
        <f t="shared" si="0"/>
        <v>-1.0562116346096238E-2</v>
      </c>
      <c r="E28" s="44"/>
    </row>
    <row r="29" spans="1:5" ht="15.75" customHeight="1" x14ac:dyDescent="0.3">
      <c r="C29" s="470">
        <v>1040.31</v>
      </c>
      <c r="D29" s="77">
        <f t="shared" si="0"/>
        <v>-9.4766739378614687E-3</v>
      </c>
      <c r="E29" s="44"/>
    </row>
    <row r="30" spans="1:5" ht="15.75" customHeight="1" x14ac:dyDescent="0.3">
      <c r="C30" s="470">
        <v>1038.06</v>
      </c>
      <c r="D30" s="77">
        <f t="shared" si="0"/>
        <v>-1.161899448043033E-2</v>
      </c>
      <c r="E30" s="44"/>
    </row>
    <row r="31" spans="1:5" ht="15.75" customHeight="1" x14ac:dyDescent="0.3">
      <c r="C31" s="470">
        <v>1040.27</v>
      </c>
      <c r="D31" s="77">
        <f t="shared" si="0"/>
        <v>-9.5147596363959926E-3</v>
      </c>
      <c r="E31" s="44"/>
    </row>
    <row r="32" spans="1:5" ht="15.75" customHeight="1" x14ac:dyDescent="0.3">
      <c r="C32" s="470">
        <v>1046.29</v>
      </c>
      <c r="D32" s="77">
        <f t="shared" si="0"/>
        <v>-3.7828620069451017E-3</v>
      </c>
      <c r="E32" s="44"/>
    </row>
    <row r="33" spans="1:7" ht="15.75" customHeight="1" x14ac:dyDescent="0.3">
      <c r="C33" s="470">
        <v>1045</v>
      </c>
      <c r="D33" s="77">
        <f t="shared" si="0"/>
        <v>-5.0111257846845473E-3</v>
      </c>
      <c r="E33" s="44"/>
    </row>
    <row r="34" spans="1:7" ht="15.75" customHeight="1" x14ac:dyDescent="0.3">
      <c r="C34" s="470">
        <v>1068.04</v>
      </c>
      <c r="D34" s="77">
        <f t="shared" si="0"/>
        <v>1.6926236571220554E-2</v>
      </c>
      <c r="E34" s="44"/>
    </row>
    <row r="35" spans="1:7" ht="15.75" customHeight="1" x14ac:dyDescent="0.3">
      <c r="C35" s="470">
        <v>1034.27</v>
      </c>
      <c r="D35" s="77">
        <f t="shared" si="0"/>
        <v>-1.5227614416579622E-2</v>
      </c>
      <c r="E35" s="44"/>
    </row>
    <row r="36" spans="1:7" ht="15.75" customHeight="1" x14ac:dyDescent="0.3">
      <c r="C36" s="470">
        <v>1079.92</v>
      </c>
      <c r="D36" s="77">
        <f t="shared" si="0"/>
        <v>2.8237689035984247E-2</v>
      </c>
      <c r="E36" s="44"/>
    </row>
    <row r="37" spans="1:7" ht="15.75" customHeight="1" x14ac:dyDescent="0.3">
      <c r="C37" s="470">
        <v>1028.49</v>
      </c>
      <c r="D37" s="77">
        <f t="shared" si="0"/>
        <v>-2.0730997854823158E-2</v>
      </c>
      <c r="E37" s="44"/>
    </row>
    <row r="38" spans="1:7" ht="15.75" customHeight="1" x14ac:dyDescent="0.3">
      <c r="C38" s="470">
        <v>1054.52</v>
      </c>
      <c r="D38" s="77">
        <f t="shared" si="0"/>
        <v>4.0532704665401272E-3</v>
      </c>
      <c r="E38" s="44"/>
    </row>
    <row r="39" spans="1:7" ht="15.75" customHeight="1" x14ac:dyDescent="0.3">
      <c r="C39" s="470">
        <v>1047.69</v>
      </c>
      <c r="D39" s="77">
        <f t="shared" si="0"/>
        <v>-2.4498625582355014E-3</v>
      </c>
      <c r="E39" s="44"/>
    </row>
    <row r="40" spans="1:7" ht="15.75" customHeight="1" x14ac:dyDescent="0.3">
      <c r="C40" s="470">
        <v>1047.51</v>
      </c>
      <c r="D40" s="77">
        <f t="shared" si="0"/>
        <v>-2.6212482016410711E-3</v>
      </c>
      <c r="E40" s="44"/>
    </row>
    <row r="41" spans="1:7" ht="15.75" customHeight="1" x14ac:dyDescent="0.3">
      <c r="C41" s="470">
        <v>1033.08</v>
      </c>
      <c r="D41" s="77">
        <f t="shared" si="0"/>
        <v>-1.6360663947982759E-2</v>
      </c>
      <c r="E41" s="44"/>
    </row>
    <row r="42" spans="1:7" ht="15.75" customHeight="1" x14ac:dyDescent="0.3">
      <c r="C42" s="470">
        <v>1059.43</v>
      </c>
      <c r="D42" s="77">
        <f t="shared" si="0"/>
        <v>8.7282899616571413E-3</v>
      </c>
      <c r="E42" s="44"/>
    </row>
    <row r="43" spans="1:7" ht="16.5" customHeight="1" x14ac:dyDescent="0.3">
      <c r="C43" s="478">
        <v>1110.93</v>
      </c>
      <c r="D43" s="482">
        <f t="shared" si="0"/>
        <v>5.7763626824899959E-2</v>
      </c>
      <c r="E43" s="44"/>
    </row>
    <row r="44" spans="1:7" ht="16.5" customHeight="1" x14ac:dyDescent="0.3">
      <c r="C44" s="45"/>
      <c r="D44" s="44"/>
      <c r="E44" s="46"/>
    </row>
    <row r="45" spans="1:7" ht="16.5" customHeight="1" x14ac:dyDescent="0.3">
      <c r="B45" s="73" t="s">
        <v>40</v>
      </c>
      <c r="C45" s="479">
        <f>SUM(C24:C44)</f>
        <v>21005.260000000002</v>
      </c>
      <c r="D45" s="69"/>
      <c r="E45" s="45"/>
    </row>
    <row r="46" spans="1:7" ht="17.25" customHeight="1" x14ac:dyDescent="0.3">
      <c r="B46" s="73" t="s">
        <v>41</v>
      </c>
      <c r="C46" s="480">
        <f>AVERAGE(C24:C44)</f>
        <v>1050.2630000000001</v>
      </c>
      <c r="E46" s="47"/>
    </row>
    <row r="47" spans="1:7" ht="17.25" customHeight="1" x14ac:dyDescent="0.3">
      <c r="A47" s="51"/>
      <c r="B47" s="70"/>
      <c r="D47" s="49"/>
      <c r="E47" s="47"/>
    </row>
    <row r="48" spans="1:7" ht="33.75" customHeight="1" x14ac:dyDescent="0.3">
      <c r="B48" s="80" t="s">
        <v>41</v>
      </c>
      <c r="C48" s="74" t="s">
        <v>42</v>
      </c>
      <c r="D48" s="71"/>
      <c r="G48" s="49"/>
    </row>
    <row r="49" spans="1:6" ht="17.25" customHeight="1" x14ac:dyDescent="0.3">
      <c r="B49" s="488">
        <f>C46</f>
        <v>1050.2630000000001</v>
      </c>
      <c r="C49" s="81">
        <f>-IF(C46&lt;=80,10%,IF(C46&lt;250,7.5%,5%))</f>
        <v>-0.05</v>
      </c>
      <c r="D49" s="72">
        <f>IF(C46&lt;=80,C46*0.9,IF(C46&lt;250,C46*0.925,C46*0.95))</f>
        <v>997.74985000000004</v>
      </c>
    </row>
    <row r="50" spans="1:6" ht="17.25" customHeight="1" x14ac:dyDescent="0.3">
      <c r="B50" s="489"/>
      <c r="C50" s="82">
        <f>IF(C46&lt;=80, 10%, IF(C46&lt;250, 7.5%, 5%))</f>
        <v>0.05</v>
      </c>
      <c r="D50" s="72">
        <f>IF(C46&lt;=80, C46*1.1, IF(C46&lt;250, C46*1.075, C46*1.05))</f>
        <v>1102.7761500000001</v>
      </c>
    </row>
    <row r="51" spans="1:6" ht="16.5" customHeight="1" x14ac:dyDescent="0.3">
      <c r="A51" s="54"/>
      <c r="B51" s="55"/>
      <c r="C51" s="51"/>
      <c r="D51" s="56"/>
      <c r="E51" s="51"/>
      <c r="F51" s="57"/>
    </row>
    <row r="52" spans="1:6" ht="16.5" customHeight="1" x14ac:dyDescent="0.3">
      <c r="A52" s="51"/>
      <c r="B52" s="58" t="s">
        <v>24</v>
      </c>
      <c r="C52" s="58"/>
      <c r="D52" s="59" t="s">
        <v>25</v>
      </c>
      <c r="E52" s="60"/>
      <c r="F52" s="59" t="s">
        <v>26</v>
      </c>
    </row>
    <row r="53" spans="1:6" ht="34.5" customHeight="1" x14ac:dyDescent="0.3">
      <c r="A53" s="61" t="s">
        <v>27</v>
      </c>
      <c r="B53" s="62"/>
      <c r="C53" s="63"/>
      <c r="D53" s="62"/>
      <c r="E53" s="52"/>
      <c r="F53" s="64"/>
    </row>
    <row r="54" spans="1:6" ht="34.5" customHeight="1" x14ac:dyDescent="0.3">
      <c r="A54" s="61" t="s">
        <v>28</v>
      </c>
      <c r="B54" s="65" t="s">
        <v>128</v>
      </c>
      <c r="C54" s="66"/>
      <c r="D54" s="481">
        <v>42373</v>
      </c>
      <c r="E54" s="52"/>
      <c r="F54" s="6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"/>
  <sheetViews>
    <sheetView tabSelected="1" topLeftCell="B101" zoomScale="70" zoomScaleNormal="70" zoomScalePageLayoutView="55" workbookViewId="0">
      <selection activeCell="H110" sqref="H11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9.109375" style="2"/>
    <col min="11" max="16384" width="9.109375" style="439"/>
  </cols>
  <sheetData>
    <row r="1" spans="1:10" customFormat="1" ht="18.75" customHeight="1" x14ac:dyDescent="0.3">
      <c r="A1" s="496" t="s">
        <v>43</v>
      </c>
      <c r="B1" s="496"/>
      <c r="C1" s="496"/>
      <c r="D1" s="496"/>
      <c r="E1" s="496"/>
      <c r="F1" s="496"/>
      <c r="G1" s="496"/>
      <c r="H1" s="496"/>
      <c r="I1" s="496"/>
      <c r="J1" s="2"/>
    </row>
    <row r="2" spans="1:10" customFormat="1" ht="18.75" customHeight="1" x14ac:dyDescent="0.3">
      <c r="A2" s="496"/>
      <c r="B2" s="496"/>
      <c r="C2" s="496"/>
      <c r="D2" s="496"/>
      <c r="E2" s="496"/>
      <c r="F2" s="496"/>
      <c r="G2" s="496"/>
      <c r="H2" s="496"/>
      <c r="I2" s="496"/>
      <c r="J2" s="2"/>
    </row>
    <row r="3" spans="1:10" customFormat="1" ht="18.7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2"/>
    </row>
    <row r="4" spans="1:10" customFormat="1" ht="18.75" customHeight="1" x14ac:dyDescent="0.3">
      <c r="A4" s="496"/>
      <c r="B4" s="496"/>
      <c r="C4" s="496"/>
      <c r="D4" s="496"/>
      <c r="E4" s="496"/>
      <c r="F4" s="496"/>
      <c r="G4" s="496"/>
      <c r="H4" s="496"/>
      <c r="I4" s="496"/>
      <c r="J4" s="2"/>
    </row>
    <row r="5" spans="1:10" customFormat="1" ht="18.75" customHeight="1" x14ac:dyDescent="0.3">
      <c r="A5" s="496"/>
      <c r="B5" s="496"/>
      <c r="C5" s="496"/>
      <c r="D5" s="496"/>
      <c r="E5" s="496"/>
      <c r="F5" s="496"/>
      <c r="G5" s="496"/>
      <c r="H5" s="496"/>
      <c r="I5" s="496"/>
      <c r="J5" s="2"/>
    </row>
    <row r="6" spans="1:10" customFormat="1" ht="18.75" customHeight="1" x14ac:dyDescent="0.3">
      <c r="A6" s="496"/>
      <c r="B6" s="496"/>
      <c r="C6" s="496"/>
      <c r="D6" s="496"/>
      <c r="E6" s="496"/>
      <c r="F6" s="496"/>
      <c r="G6" s="496"/>
      <c r="H6" s="496"/>
      <c r="I6" s="496"/>
      <c r="J6" s="2"/>
    </row>
    <row r="7" spans="1:10" customFormat="1" ht="18.75" customHeight="1" x14ac:dyDescent="0.3">
      <c r="A7" s="496"/>
      <c r="B7" s="496"/>
      <c r="C7" s="496"/>
      <c r="D7" s="496"/>
      <c r="E7" s="496"/>
      <c r="F7" s="496"/>
      <c r="G7" s="496"/>
      <c r="H7" s="496"/>
      <c r="I7" s="496"/>
      <c r="J7" s="2"/>
    </row>
    <row r="8" spans="1:10" customFormat="1" x14ac:dyDescent="0.3">
      <c r="A8" s="497" t="s">
        <v>44</v>
      </c>
      <c r="B8" s="497"/>
      <c r="C8" s="497"/>
      <c r="D8" s="497"/>
      <c r="E8" s="497"/>
      <c r="F8" s="497"/>
      <c r="G8" s="497"/>
      <c r="H8" s="497"/>
      <c r="I8" s="497"/>
      <c r="J8" s="2"/>
    </row>
    <row r="9" spans="1:10" customFormat="1" x14ac:dyDescent="0.3">
      <c r="A9" s="497"/>
      <c r="B9" s="497"/>
      <c r="C9" s="497"/>
      <c r="D9" s="497"/>
      <c r="E9" s="497"/>
      <c r="F9" s="497"/>
      <c r="G9" s="497"/>
      <c r="H9" s="497"/>
      <c r="I9" s="497"/>
      <c r="J9" s="2"/>
    </row>
    <row r="10" spans="1:10" customFormat="1" x14ac:dyDescent="0.3">
      <c r="A10" s="497"/>
      <c r="B10" s="497"/>
      <c r="C10" s="497"/>
      <c r="D10" s="497"/>
      <c r="E10" s="497"/>
      <c r="F10" s="497"/>
      <c r="G10" s="497"/>
      <c r="H10" s="497"/>
      <c r="I10" s="497"/>
      <c r="J10" s="2"/>
    </row>
    <row r="11" spans="1:10" customFormat="1" x14ac:dyDescent="0.3">
      <c r="A11" s="497"/>
      <c r="B11" s="497"/>
      <c r="C11" s="497"/>
      <c r="D11" s="497"/>
      <c r="E11" s="497"/>
      <c r="F11" s="497"/>
      <c r="G11" s="497"/>
      <c r="H11" s="497"/>
      <c r="I11" s="497"/>
      <c r="J11" s="2"/>
    </row>
    <row r="12" spans="1:10" customFormat="1" x14ac:dyDescent="0.3">
      <c r="A12" s="497"/>
      <c r="B12" s="497"/>
      <c r="C12" s="497"/>
      <c r="D12" s="497"/>
      <c r="E12" s="497"/>
      <c r="F12" s="497"/>
      <c r="G12" s="497"/>
      <c r="H12" s="497"/>
      <c r="I12" s="497"/>
      <c r="J12" s="2"/>
    </row>
    <row r="13" spans="1:10" customFormat="1" x14ac:dyDescent="0.3">
      <c r="A13" s="497"/>
      <c r="B13" s="497"/>
      <c r="C13" s="497"/>
      <c r="D13" s="497"/>
      <c r="E13" s="497"/>
      <c r="F13" s="497"/>
      <c r="G13" s="497"/>
      <c r="H13" s="497"/>
      <c r="I13" s="497"/>
      <c r="J13" s="2"/>
    </row>
    <row r="14" spans="1:10" customFormat="1" x14ac:dyDescent="0.3">
      <c r="A14" s="497"/>
      <c r="B14" s="497"/>
      <c r="C14" s="497"/>
      <c r="D14" s="497"/>
      <c r="E14" s="497"/>
      <c r="F14" s="497"/>
      <c r="G14" s="497"/>
      <c r="H14" s="497"/>
      <c r="I14" s="497"/>
      <c r="J14" s="2"/>
    </row>
    <row r="15" spans="1:10" customFormat="1" ht="19.5" customHeight="1" x14ac:dyDescent="0.35">
      <c r="A15" s="84"/>
      <c r="B15" s="2"/>
      <c r="C15" s="2"/>
      <c r="D15" s="2"/>
      <c r="E15" s="2"/>
      <c r="F15" s="2"/>
      <c r="G15" s="2"/>
      <c r="H15" s="2"/>
      <c r="I15" s="2"/>
      <c r="J15" s="2"/>
    </row>
    <row r="16" spans="1:10" customFormat="1" ht="19.5" customHeight="1" x14ac:dyDescent="0.35">
      <c r="A16" s="539" t="s">
        <v>29</v>
      </c>
      <c r="B16" s="540"/>
      <c r="C16" s="540"/>
      <c r="D16" s="540"/>
      <c r="E16" s="540"/>
      <c r="F16" s="540"/>
      <c r="G16" s="540"/>
      <c r="H16" s="541"/>
      <c r="I16" s="2"/>
      <c r="J16" s="2"/>
    </row>
    <row r="17" spans="1:12" customFormat="1" ht="20.25" customHeight="1" x14ac:dyDescent="0.3">
      <c r="A17" s="542" t="s">
        <v>45</v>
      </c>
      <c r="B17" s="542"/>
      <c r="C17" s="542"/>
      <c r="D17" s="542"/>
      <c r="E17" s="542"/>
      <c r="F17" s="542"/>
      <c r="G17" s="542"/>
      <c r="H17" s="542"/>
      <c r="I17" s="2"/>
      <c r="J17" s="2"/>
    </row>
    <row r="18" spans="1:12" customFormat="1" ht="26.25" customHeight="1" x14ac:dyDescent="0.5">
      <c r="A18" s="86" t="s">
        <v>31</v>
      </c>
      <c r="B18" s="538" t="s">
        <v>5</v>
      </c>
      <c r="C18" s="538"/>
      <c r="D18" s="247"/>
      <c r="E18" s="87"/>
      <c r="F18" s="88"/>
      <c r="G18" s="88"/>
      <c r="H18" s="88"/>
      <c r="I18" s="2"/>
      <c r="J18" s="2"/>
    </row>
    <row r="19" spans="1:12" customFormat="1" ht="26.25" customHeight="1" x14ac:dyDescent="0.5">
      <c r="A19" s="86" t="s">
        <v>32</v>
      </c>
      <c r="B19" s="89" t="s">
        <v>7</v>
      </c>
      <c r="C19" s="260">
        <v>29</v>
      </c>
      <c r="D19" s="88"/>
      <c r="E19" s="88"/>
      <c r="F19" s="88"/>
      <c r="G19" s="88"/>
      <c r="H19" s="88"/>
      <c r="I19" s="2"/>
      <c r="J19" s="2"/>
    </row>
    <row r="20" spans="1:12" customFormat="1" ht="26.25" customHeight="1" x14ac:dyDescent="0.5">
      <c r="A20" s="86" t="s">
        <v>33</v>
      </c>
      <c r="B20" s="483" t="s">
        <v>130</v>
      </c>
      <c r="C20" s="483"/>
      <c r="D20" s="88"/>
      <c r="E20" s="88"/>
      <c r="F20" s="88"/>
      <c r="G20" s="88"/>
      <c r="H20" s="88"/>
      <c r="I20" s="2"/>
      <c r="J20" s="2"/>
    </row>
    <row r="21" spans="1:12" customFormat="1" ht="26.25" customHeight="1" x14ac:dyDescent="0.5">
      <c r="A21" s="86" t="s">
        <v>34</v>
      </c>
      <c r="B21" s="543" t="s">
        <v>131</v>
      </c>
      <c r="C21" s="543"/>
      <c r="D21" s="543"/>
      <c r="E21" s="543"/>
      <c r="F21" s="543"/>
      <c r="G21" s="543"/>
      <c r="H21" s="543"/>
      <c r="I21" s="90"/>
      <c r="J21" s="2"/>
    </row>
    <row r="22" spans="1:12" customFormat="1" ht="26.25" customHeight="1" x14ac:dyDescent="0.5">
      <c r="A22" s="86" t="s">
        <v>35</v>
      </c>
      <c r="B22" s="91" t="s">
        <v>11</v>
      </c>
      <c r="C22" s="88"/>
      <c r="D22" s="88"/>
      <c r="E22" s="88"/>
      <c r="F22" s="88"/>
      <c r="G22" s="88"/>
      <c r="H22" s="88"/>
      <c r="I22" s="2"/>
      <c r="J22" s="2"/>
    </row>
    <row r="23" spans="1:12" customFormat="1" ht="26.25" customHeight="1" x14ac:dyDescent="0.5">
      <c r="A23" s="86" t="s">
        <v>36</v>
      </c>
      <c r="B23" s="91"/>
      <c r="C23" s="88"/>
      <c r="D23" s="88"/>
      <c r="E23" s="88"/>
      <c r="F23" s="88"/>
      <c r="G23" s="88"/>
      <c r="H23" s="88"/>
      <c r="I23" s="2"/>
      <c r="J23" s="2"/>
    </row>
    <row r="24" spans="1:12" customFormat="1" ht="18" x14ac:dyDescent="0.35">
      <c r="A24" s="86"/>
      <c r="B24" s="92"/>
      <c r="C24" s="2"/>
      <c r="D24" s="2"/>
      <c r="E24" s="2"/>
      <c r="F24" s="2"/>
      <c r="G24" s="2"/>
      <c r="H24" s="2"/>
      <c r="I24" s="2"/>
      <c r="J24" s="2"/>
    </row>
    <row r="25" spans="1:12" customFormat="1" ht="18" x14ac:dyDescent="0.35">
      <c r="A25" s="93" t="s">
        <v>1</v>
      </c>
      <c r="B25" s="92"/>
      <c r="C25" s="2"/>
      <c r="D25" s="2"/>
      <c r="E25" s="2"/>
      <c r="F25" s="2"/>
      <c r="G25" s="2"/>
      <c r="H25" s="2"/>
      <c r="I25" s="2"/>
      <c r="J25" s="2"/>
    </row>
    <row r="26" spans="1:12" customFormat="1" ht="26.25" customHeight="1" x14ac:dyDescent="0.45">
      <c r="A26" s="94" t="s">
        <v>4</v>
      </c>
      <c r="B26" s="538" t="s">
        <v>122</v>
      </c>
      <c r="C26" s="538"/>
      <c r="D26" s="2"/>
      <c r="E26" s="2"/>
      <c r="F26" s="2"/>
      <c r="G26" s="2"/>
      <c r="H26" s="2"/>
      <c r="I26" s="2"/>
      <c r="J26" s="2"/>
    </row>
    <row r="27" spans="1:12" customFormat="1" ht="26.25" customHeight="1" x14ac:dyDescent="0.5">
      <c r="A27" s="95" t="s">
        <v>46</v>
      </c>
      <c r="B27" s="528" t="s">
        <v>124</v>
      </c>
      <c r="C27" s="528"/>
      <c r="D27" s="2"/>
      <c r="E27" s="2"/>
      <c r="F27" s="2"/>
      <c r="G27" s="2"/>
      <c r="H27" s="2"/>
      <c r="I27" s="2"/>
      <c r="J27" s="2"/>
    </row>
    <row r="28" spans="1:12" customFormat="1" ht="27" customHeight="1" x14ac:dyDescent="0.45">
      <c r="A28" s="95" t="s">
        <v>6</v>
      </c>
      <c r="B28" s="96">
        <v>99.65</v>
      </c>
      <c r="C28" s="2"/>
      <c r="D28" s="2"/>
      <c r="E28" s="2"/>
      <c r="F28" s="2"/>
      <c r="G28" s="2"/>
      <c r="H28" s="2"/>
      <c r="I28" s="2"/>
      <c r="J28" s="2"/>
    </row>
    <row r="29" spans="1:12" s="440" customFormat="1" ht="27" customHeight="1" x14ac:dyDescent="0.5">
      <c r="A29" s="95" t="s">
        <v>47</v>
      </c>
      <c r="B29" s="97">
        <v>0</v>
      </c>
      <c r="C29" s="529" t="s">
        <v>48</v>
      </c>
      <c r="D29" s="530"/>
      <c r="E29" s="530"/>
      <c r="F29" s="530"/>
      <c r="G29" s="531"/>
      <c r="I29" s="98"/>
      <c r="J29" s="98"/>
    </row>
    <row r="30" spans="1:12" s="440" customFormat="1" ht="19.5" customHeight="1" thickBot="1" x14ac:dyDescent="0.4">
      <c r="A30" s="95" t="s">
        <v>49</v>
      </c>
      <c r="B30" s="99">
        <f>B28-B29</f>
        <v>99.65</v>
      </c>
      <c r="C30" s="100"/>
      <c r="D30" s="100"/>
      <c r="E30" s="100"/>
      <c r="F30" s="100"/>
      <c r="G30" s="101"/>
      <c r="I30" s="98"/>
      <c r="J30" s="98"/>
    </row>
    <row r="31" spans="1:12" s="440" customFormat="1" ht="27" customHeight="1" thickBot="1" x14ac:dyDescent="0.5">
      <c r="A31" s="95" t="s">
        <v>50</v>
      </c>
      <c r="B31" s="102">
        <v>1</v>
      </c>
      <c r="C31" s="532" t="s">
        <v>51</v>
      </c>
      <c r="D31" s="533"/>
      <c r="E31" s="533"/>
      <c r="F31" s="533"/>
      <c r="G31" s="533"/>
      <c r="H31" s="534"/>
      <c r="I31" s="98"/>
      <c r="J31" s="98"/>
    </row>
    <row r="32" spans="1:12" s="440" customFormat="1" ht="27" customHeight="1" thickBot="1" x14ac:dyDescent="0.5">
      <c r="A32" s="95" t="s">
        <v>52</v>
      </c>
      <c r="B32" s="102">
        <v>1</v>
      </c>
      <c r="C32" s="500" t="s">
        <v>53</v>
      </c>
      <c r="D32" s="514"/>
      <c r="E32" s="514"/>
      <c r="F32" s="514"/>
      <c r="G32" s="514"/>
      <c r="H32" s="501"/>
      <c r="I32" s="98"/>
      <c r="J32" s="103"/>
      <c r="K32" s="441"/>
      <c r="L32" s="442"/>
    </row>
    <row r="33" spans="1:12" s="440" customFormat="1" ht="17.25" customHeight="1" x14ac:dyDescent="0.35">
      <c r="A33" s="95"/>
      <c r="B33" s="104"/>
      <c r="C33" s="105"/>
      <c r="D33" s="105"/>
      <c r="E33" s="105"/>
      <c r="F33" s="105"/>
      <c r="G33" s="105"/>
      <c r="H33" s="105"/>
      <c r="I33" s="98"/>
      <c r="J33" s="103"/>
      <c r="K33" s="441"/>
      <c r="L33" s="442"/>
    </row>
    <row r="34" spans="1:12" s="440" customFormat="1" ht="18" x14ac:dyDescent="0.35">
      <c r="A34" s="95" t="s">
        <v>54</v>
      </c>
      <c r="B34" s="106">
        <f>B31/B32</f>
        <v>1</v>
      </c>
      <c r="C34" s="85" t="s">
        <v>55</v>
      </c>
      <c r="D34" s="85"/>
      <c r="E34" s="85"/>
      <c r="F34" s="85"/>
      <c r="G34" s="85"/>
      <c r="I34" s="98"/>
      <c r="J34" s="103"/>
      <c r="K34" s="441"/>
      <c r="L34" s="442"/>
    </row>
    <row r="35" spans="1:12" s="440" customFormat="1" ht="19.5" customHeight="1" x14ac:dyDescent="0.35">
      <c r="A35" s="95"/>
      <c r="B35" s="99"/>
      <c r="C35" s="14"/>
      <c r="D35" s="14"/>
      <c r="E35" s="14"/>
      <c r="F35" s="447"/>
      <c r="G35" s="85"/>
      <c r="I35" s="98"/>
      <c r="J35" s="103"/>
      <c r="K35" s="441"/>
      <c r="L35" s="442"/>
    </row>
    <row r="36" spans="1:12" s="440" customFormat="1" ht="27" customHeight="1" x14ac:dyDescent="0.45">
      <c r="A36" s="107" t="s">
        <v>56</v>
      </c>
      <c r="B36" s="108">
        <v>25</v>
      </c>
      <c r="C36" s="85"/>
      <c r="D36" s="510" t="s">
        <v>57</v>
      </c>
      <c r="E36" s="535"/>
      <c r="F36" s="536" t="s">
        <v>58</v>
      </c>
      <c r="G36" s="537"/>
      <c r="I36" s="444"/>
      <c r="J36" s="103"/>
      <c r="K36" s="441"/>
      <c r="L36" s="442"/>
    </row>
    <row r="37" spans="1:12" s="440" customFormat="1" ht="27" customHeight="1" x14ac:dyDescent="0.45">
      <c r="A37" s="109" t="s">
        <v>59</v>
      </c>
      <c r="B37" s="110">
        <v>10</v>
      </c>
      <c r="C37" s="111" t="s">
        <v>60</v>
      </c>
      <c r="D37" s="112" t="s">
        <v>61</v>
      </c>
      <c r="E37" s="113" t="s">
        <v>62</v>
      </c>
      <c r="F37" s="449" t="s">
        <v>61</v>
      </c>
      <c r="G37" s="450" t="s">
        <v>62</v>
      </c>
      <c r="I37" s="445" t="s">
        <v>63</v>
      </c>
      <c r="J37" s="103"/>
      <c r="K37" s="441"/>
      <c r="L37" s="442"/>
    </row>
    <row r="38" spans="1:12" s="440" customFormat="1" ht="26.25" customHeight="1" x14ac:dyDescent="0.45">
      <c r="A38" s="109" t="s">
        <v>64</v>
      </c>
      <c r="B38" s="110">
        <v>50</v>
      </c>
      <c r="C38" s="115">
        <v>1</v>
      </c>
      <c r="D38" s="294">
        <v>129551375</v>
      </c>
      <c r="E38" s="116">
        <f>IF(ISBLANK(D38),"-",$D$48/$D$45*D38)</f>
        <v>126897410.82563989</v>
      </c>
      <c r="F38" s="451">
        <v>133260156</v>
      </c>
      <c r="G38" s="452">
        <f>IF(ISBLANK(F38),"-",$D$48/$F$45*F38)</f>
        <v>129518842.34044337</v>
      </c>
      <c r="I38" s="446"/>
      <c r="J38" s="103"/>
      <c r="K38" s="441"/>
      <c r="L38" s="442"/>
    </row>
    <row r="39" spans="1:12" s="440" customFormat="1" ht="26.25" customHeight="1" x14ac:dyDescent="0.45">
      <c r="A39" s="109" t="s">
        <v>65</v>
      </c>
      <c r="B39" s="110">
        <v>1</v>
      </c>
      <c r="C39" s="119">
        <v>2</v>
      </c>
      <c r="D39" s="299">
        <v>129546709</v>
      </c>
      <c r="E39" s="121">
        <f>IF(ISBLANK(D39),"-",$D$48/$D$45*D39)</f>
        <v>126892840.41240488</v>
      </c>
      <c r="F39" s="453">
        <v>133790103</v>
      </c>
      <c r="G39" s="454">
        <f>IF(ISBLANK(F39),"-",$D$48/$F$45*F39)</f>
        <v>130033910.94010635</v>
      </c>
      <c r="I39" s="526">
        <f>ABS((F43/D43*D42)-F42)/D42</f>
        <v>2.3613431960707823E-2</v>
      </c>
      <c r="J39" s="103"/>
      <c r="K39" s="441"/>
      <c r="L39" s="442"/>
    </row>
    <row r="40" spans="1:12" ht="26.25" customHeight="1" x14ac:dyDescent="0.45">
      <c r="A40" s="109" t="s">
        <v>66</v>
      </c>
      <c r="B40" s="110">
        <v>1</v>
      </c>
      <c r="C40" s="119">
        <v>3</v>
      </c>
      <c r="D40" s="299">
        <v>129319131</v>
      </c>
      <c r="E40" s="121">
        <f>IF(ISBLANK(D40),"-",$D$48/$D$45*D40)</f>
        <v>126669924.53088006</v>
      </c>
      <c r="F40" s="453">
        <v>133571848</v>
      </c>
      <c r="G40" s="454">
        <f>IF(ISBLANK(F40),"-",$D$48/$F$45*F40)</f>
        <v>129821783.5061942</v>
      </c>
      <c r="I40" s="512"/>
      <c r="J40" s="103"/>
      <c r="K40" s="441"/>
      <c r="L40" s="443"/>
    </row>
    <row r="41" spans="1:12" ht="27" customHeight="1" x14ac:dyDescent="0.45">
      <c r="A41" s="109" t="s">
        <v>67</v>
      </c>
      <c r="B41" s="110">
        <v>1</v>
      </c>
      <c r="C41" s="124">
        <v>4</v>
      </c>
      <c r="D41" s="125"/>
      <c r="E41" s="126" t="str">
        <f>IF(ISBLANK(D41),"-",$D$48/$D$45*D41)</f>
        <v>-</v>
      </c>
      <c r="F41" s="455"/>
      <c r="G41" s="456" t="str">
        <f>IF(ISBLANK(F41),"-",$D$48/$F$45*F41)</f>
        <v>-</v>
      </c>
      <c r="I41" s="128"/>
      <c r="J41" s="103"/>
      <c r="K41" s="441"/>
      <c r="L41" s="443"/>
    </row>
    <row r="42" spans="1:12" ht="27" customHeight="1" x14ac:dyDescent="0.45">
      <c r="A42" s="109" t="s">
        <v>68</v>
      </c>
      <c r="B42" s="110">
        <v>1</v>
      </c>
      <c r="C42" s="129" t="s">
        <v>69</v>
      </c>
      <c r="D42" s="130">
        <f>AVERAGE(D38:D41)</f>
        <v>129472405</v>
      </c>
      <c r="E42" s="131">
        <f>AVERAGE(E38:E41)</f>
        <v>126820058.58964162</v>
      </c>
      <c r="F42" s="457">
        <f>AVERAGE(F38:F41)</f>
        <v>133540702.33333333</v>
      </c>
      <c r="G42" s="458">
        <f>AVERAGE(G38:G41)</f>
        <v>129791512.26224796</v>
      </c>
      <c r="H42" s="132"/>
    </row>
    <row r="43" spans="1:12" ht="26.25" customHeight="1" x14ac:dyDescent="0.45">
      <c r="A43" s="109" t="s">
        <v>70</v>
      </c>
      <c r="B43" s="110">
        <v>1</v>
      </c>
      <c r="C43" s="133" t="s">
        <v>71</v>
      </c>
      <c r="D43" s="134">
        <v>20.49</v>
      </c>
      <c r="E43" s="123"/>
      <c r="F43" s="448">
        <v>20.65</v>
      </c>
      <c r="H43" s="132"/>
    </row>
    <row r="44" spans="1:12" ht="26.25" customHeight="1" x14ac:dyDescent="0.45">
      <c r="A44" s="109" t="s">
        <v>72</v>
      </c>
      <c r="B44" s="110">
        <v>1</v>
      </c>
      <c r="C44" s="135" t="s">
        <v>73</v>
      </c>
      <c r="D44" s="136">
        <f>D43*$B$34</f>
        <v>20.49</v>
      </c>
      <c r="E44" s="137"/>
      <c r="F44" s="136">
        <f>F43*$B$34</f>
        <v>20.65</v>
      </c>
      <c r="H44" s="132"/>
    </row>
    <row r="45" spans="1:12" ht="19.5" customHeight="1" x14ac:dyDescent="0.35">
      <c r="A45" s="109" t="s">
        <v>74</v>
      </c>
      <c r="B45" s="138">
        <f>(B44/B43)*(B42/B41)*(B40/B39)*(B38/B37)*B36</f>
        <v>125</v>
      </c>
      <c r="C45" s="135" t="s">
        <v>75</v>
      </c>
      <c r="D45" s="139">
        <f>D44*$B$30/100</f>
        <v>20.418284999999997</v>
      </c>
      <c r="E45" s="140"/>
      <c r="F45" s="139">
        <f>F44*$B$30/100</f>
        <v>20.577725000000001</v>
      </c>
      <c r="H45" s="132"/>
    </row>
    <row r="46" spans="1:12" ht="19.5" customHeight="1" x14ac:dyDescent="0.35">
      <c r="A46" s="498" t="s">
        <v>76</v>
      </c>
      <c r="B46" s="499"/>
      <c r="C46" s="135" t="s">
        <v>77</v>
      </c>
      <c r="D46" s="141">
        <f>D45/$B$45</f>
        <v>0.16334627999999998</v>
      </c>
      <c r="E46" s="142"/>
      <c r="F46" s="143">
        <f>F45/$B$45</f>
        <v>0.16462180000000001</v>
      </c>
      <c r="H46" s="132"/>
    </row>
    <row r="47" spans="1:12" ht="27" customHeight="1" x14ac:dyDescent="0.45">
      <c r="A47" s="500"/>
      <c r="B47" s="501"/>
      <c r="C47" s="144" t="s">
        <v>78</v>
      </c>
      <c r="D47" s="145">
        <v>0.16</v>
      </c>
      <c r="E47" s="146"/>
      <c r="F47" s="142"/>
      <c r="H47" s="132"/>
    </row>
    <row r="48" spans="1:12" ht="18" x14ac:dyDescent="0.35">
      <c r="C48" s="147" t="s">
        <v>79</v>
      </c>
      <c r="D48" s="139">
        <f>D47*$B$45</f>
        <v>20</v>
      </c>
      <c r="F48" s="148"/>
      <c r="H48" s="132"/>
    </row>
    <row r="49" spans="1:10" ht="19.5" customHeight="1" x14ac:dyDescent="0.35">
      <c r="C49" s="149" t="s">
        <v>80</v>
      </c>
      <c r="D49" s="150">
        <f>D48/B34</f>
        <v>20</v>
      </c>
      <c r="F49" s="148"/>
      <c r="H49" s="132"/>
    </row>
    <row r="50" spans="1:10" ht="18" x14ac:dyDescent="0.35">
      <c r="C50" s="107" t="s">
        <v>81</v>
      </c>
      <c r="D50" s="151">
        <f>AVERAGE(E38:E41,G38:G41)</f>
        <v>128305785.42594481</v>
      </c>
      <c r="F50" s="152"/>
      <c r="H50" s="132"/>
    </row>
    <row r="51" spans="1:10" ht="18" x14ac:dyDescent="0.35">
      <c r="C51" s="109" t="s">
        <v>82</v>
      </c>
      <c r="D51" s="153">
        <f>STDEV(E38:E41,G38:G41)/D50</f>
        <v>1.2764915247168614E-2</v>
      </c>
      <c r="F51" s="152"/>
      <c r="H51" s="484"/>
    </row>
    <row r="52" spans="1:10" ht="19.5" customHeight="1" x14ac:dyDescent="0.35">
      <c r="C52" s="154" t="s">
        <v>19</v>
      </c>
      <c r="D52" s="155">
        <f>COUNT(E38:E41,G38:G41)</f>
        <v>6</v>
      </c>
      <c r="F52" s="152"/>
      <c r="H52" s="484"/>
    </row>
    <row r="53" spans="1:10" x14ac:dyDescent="0.3">
      <c r="H53" s="484"/>
    </row>
    <row r="54" spans="1:10" ht="18" x14ac:dyDescent="0.35">
      <c r="A54" s="156" t="s">
        <v>1</v>
      </c>
      <c r="B54" s="157" t="s">
        <v>83</v>
      </c>
    </row>
    <row r="55" spans="1:10" ht="18" x14ac:dyDescent="0.35">
      <c r="A55" s="85" t="s">
        <v>84</v>
      </c>
      <c r="B55" s="158" t="str">
        <f>B21</f>
        <v>Sulphamethoxazole 800mg and Trimethoprim 160 mg per tablet</v>
      </c>
    </row>
    <row r="56" spans="1:10" ht="26.25" customHeight="1" x14ac:dyDescent="0.45">
      <c r="A56" s="159" t="s">
        <v>85</v>
      </c>
      <c r="B56" s="160">
        <v>800</v>
      </c>
      <c r="C56" s="85" t="str">
        <f>B20</f>
        <v>Each tablet contains Sulphamethoxazole 800 mg  and Trimethoprim 160mg.</v>
      </c>
      <c r="H56" s="161"/>
    </row>
    <row r="57" spans="1:10" ht="18" x14ac:dyDescent="0.35">
      <c r="A57" s="158" t="s">
        <v>86</v>
      </c>
      <c r="B57" s="248">
        <f>Uniformity!C46</f>
        <v>1050.2630000000001</v>
      </c>
      <c r="H57" s="161"/>
    </row>
    <row r="58" spans="1:10" ht="19.5" customHeight="1" x14ac:dyDescent="0.35">
      <c r="H58" s="161"/>
    </row>
    <row r="59" spans="1:10" s="440" customFormat="1" ht="27" customHeight="1" x14ac:dyDescent="0.45">
      <c r="A59" s="107" t="s">
        <v>87</v>
      </c>
      <c r="B59" s="108">
        <v>200</v>
      </c>
      <c r="C59" s="85"/>
      <c r="D59" s="162" t="s">
        <v>88</v>
      </c>
      <c r="E59" s="163" t="s">
        <v>60</v>
      </c>
      <c r="F59" s="163" t="s">
        <v>61</v>
      </c>
      <c r="G59" s="163" t="s">
        <v>89</v>
      </c>
      <c r="H59" s="111" t="s">
        <v>90</v>
      </c>
      <c r="I59" s="14"/>
      <c r="J59" s="98"/>
    </row>
    <row r="60" spans="1:10" s="440" customFormat="1" ht="26.25" customHeight="1" x14ac:dyDescent="0.45">
      <c r="A60" s="109" t="s">
        <v>91</v>
      </c>
      <c r="B60" s="110">
        <v>2</v>
      </c>
      <c r="C60" s="515" t="s">
        <v>92</v>
      </c>
      <c r="D60" s="518">
        <v>1047.6300000000001</v>
      </c>
      <c r="E60" s="164">
        <v>1</v>
      </c>
      <c r="F60" s="165">
        <v>130206750</v>
      </c>
      <c r="G60" s="249">
        <f>IF(ISBLANK(F60),"-",(F60/$D$50*$D$47*$B$68)*($B$57/$D$60))</f>
        <v>813.89313591809696</v>
      </c>
      <c r="H60" s="166">
        <f t="shared" ref="H60:H71" si="0">IF(ISBLANK(F60),"-",G60/$B$56)</f>
        <v>1.0173664198976211</v>
      </c>
      <c r="I60" s="14"/>
      <c r="J60" s="98"/>
    </row>
    <row r="61" spans="1:10" s="440" customFormat="1" ht="26.25" customHeight="1" x14ac:dyDescent="0.45">
      <c r="A61" s="109" t="s">
        <v>93</v>
      </c>
      <c r="B61" s="110">
        <v>50</v>
      </c>
      <c r="C61" s="516"/>
      <c r="D61" s="519"/>
      <c r="E61" s="167">
        <v>2</v>
      </c>
      <c r="F61" s="120">
        <v>130460547</v>
      </c>
      <c r="G61" s="250">
        <f>IF(ISBLANK(F61),"-",(F61/$D$50*$D$47*$B$68)*($B$57/$D$60))</f>
        <v>815.47956393520508</v>
      </c>
      <c r="H61" s="168">
        <f t="shared" si="0"/>
        <v>1.0193494549190063</v>
      </c>
      <c r="I61" s="14"/>
      <c r="J61" s="98"/>
    </row>
    <row r="62" spans="1:10" s="440" customFormat="1" ht="26.25" customHeight="1" x14ac:dyDescent="0.45">
      <c r="A62" s="109" t="s">
        <v>94</v>
      </c>
      <c r="B62" s="110">
        <v>1</v>
      </c>
      <c r="C62" s="516"/>
      <c r="D62" s="519"/>
      <c r="E62" s="167">
        <v>3</v>
      </c>
      <c r="F62" s="169">
        <v>130360172</v>
      </c>
      <c r="G62" s="250">
        <f>IF(ISBLANK(F62),"-",(F62/$D$50*$D$47*$B$68)*($B$57/$D$60))</f>
        <v>814.8521423651423</v>
      </c>
      <c r="H62" s="168">
        <f t="shared" si="0"/>
        <v>1.018565177956428</v>
      </c>
      <c r="I62" s="14"/>
      <c r="J62" s="98"/>
    </row>
    <row r="63" spans="1:10" ht="27" customHeight="1" x14ac:dyDescent="0.45">
      <c r="A63" s="109" t="s">
        <v>95</v>
      </c>
      <c r="B63" s="110">
        <v>1</v>
      </c>
      <c r="C63" s="527"/>
      <c r="D63" s="520"/>
      <c r="E63" s="170">
        <v>4</v>
      </c>
      <c r="F63" s="171"/>
      <c r="G63" s="250" t="str">
        <f>IF(ISBLANK(F63),"-",(F63/$D$50*$D$47*$B$68)*($B$57/$D$60))</f>
        <v>-</v>
      </c>
      <c r="H63" s="168" t="str">
        <f t="shared" si="0"/>
        <v>-</v>
      </c>
    </row>
    <row r="64" spans="1:10" ht="26.25" customHeight="1" x14ac:dyDescent="0.45">
      <c r="A64" s="109" t="s">
        <v>96</v>
      </c>
      <c r="B64" s="110">
        <v>1</v>
      </c>
      <c r="C64" s="515" t="s">
        <v>97</v>
      </c>
      <c r="D64" s="518">
        <v>1042.68</v>
      </c>
      <c r="E64" s="164">
        <v>1</v>
      </c>
      <c r="F64" s="165">
        <v>125956381</v>
      </c>
      <c r="G64" s="251">
        <f>IF(ISBLANK(F64),"-",(F64/$D$50*$D$47*$B$68)*($B$57/$D$64))</f>
        <v>791.06276688280695</v>
      </c>
      <c r="H64" s="172">
        <f t="shared" si="0"/>
        <v>0.98882845860350865</v>
      </c>
    </row>
    <row r="65" spans="1:8" ht="26.25" customHeight="1" x14ac:dyDescent="0.45">
      <c r="A65" s="109" t="s">
        <v>98</v>
      </c>
      <c r="B65" s="110">
        <v>1</v>
      </c>
      <c r="C65" s="516"/>
      <c r="D65" s="519"/>
      <c r="E65" s="167">
        <v>2</v>
      </c>
      <c r="F65" s="120">
        <v>126450369</v>
      </c>
      <c r="G65" s="252">
        <f>IF(ISBLANK(F65),"-",(F65/$D$50*$D$47*$B$68)*($B$57/$D$64))</f>
        <v>794.16523387165216</v>
      </c>
      <c r="H65" s="173">
        <f t="shared" si="0"/>
        <v>0.99270654233956523</v>
      </c>
    </row>
    <row r="66" spans="1:8" ht="26.25" customHeight="1" x14ac:dyDescent="0.45">
      <c r="A66" s="109" t="s">
        <v>99</v>
      </c>
      <c r="B66" s="110">
        <v>1</v>
      </c>
      <c r="C66" s="516"/>
      <c r="D66" s="519"/>
      <c r="E66" s="167">
        <v>3</v>
      </c>
      <c r="F66" s="120">
        <v>126418928</v>
      </c>
      <c r="G66" s="252">
        <f>IF(ISBLANK(F66),"-",(F66/$D$50*$D$47*$B$68)*($B$57/$D$64))</f>
        <v>793.9677702397496</v>
      </c>
      <c r="H66" s="173">
        <f t="shared" si="0"/>
        <v>0.99245971279968703</v>
      </c>
    </row>
    <row r="67" spans="1:8" ht="27" customHeight="1" x14ac:dyDescent="0.45">
      <c r="A67" s="109" t="s">
        <v>100</v>
      </c>
      <c r="B67" s="110">
        <v>1</v>
      </c>
      <c r="C67" s="527"/>
      <c r="D67" s="520"/>
      <c r="E67" s="170">
        <v>4</v>
      </c>
      <c r="F67" s="171"/>
      <c r="G67" s="253" t="str">
        <f>IF(ISBLANK(F67),"-",(F67/$D$50*$D$47*$B$68)*($B$57/$D$64))</f>
        <v>-</v>
      </c>
      <c r="H67" s="174" t="str">
        <f t="shared" si="0"/>
        <v>-</v>
      </c>
    </row>
    <row r="68" spans="1:8" ht="26.25" customHeight="1" x14ac:dyDescent="0.5">
      <c r="A68" s="109" t="s">
        <v>101</v>
      </c>
      <c r="B68" s="175">
        <f>(B67/B66)*(B65/B64)*(B63/B62)*(B61/B60)*B59</f>
        <v>5000</v>
      </c>
      <c r="C68" s="515" t="s">
        <v>102</v>
      </c>
      <c r="D68" s="518">
        <v>1046.6400000000001</v>
      </c>
      <c r="E68" s="164">
        <v>1</v>
      </c>
      <c r="F68" s="165">
        <v>127589290</v>
      </c>
      <c r="G68" s="251">
        <f>IF(ISBLANK(F68),"-",(F68/$D$50*$D$47*$B$68)*($B$57/$D$68))</f>
        <v>798.28635433717693</v>
      </c>
      <c r="H68" s="168">
        <f t="shared" si="0"/>
        <v>0.99785794292147112</v>
      </c>
    </row>
    <row r="69" spans="1:8" ht="27" customHeight="1" x14ac:dyDescent="0.5">
      <c r="A69" s="154" t="s">
        <v>103</v>
      </c>
      <c r="B69" s="176">
        <f>(D47*B68)/B56*B57</f>
        <v>1050.2630000000001</v>
      </c>
      <c r="C69" s="516"/>
      <c r="D69" s="519"/>
      <c r="E69" s="167">
        <v>2</v>
      </c>
      <c r="F69" s="120">
        <v>127573392</v>
      </c>
      <c r="G69" s="252">
        <f>IF(ISBLANK(F69),"-",(F69/$D$50*$D$47*$B$68)*($B$57/$D$68))</f>
        <v>798.18688551450975</v>
      </c>
      <c r="H69" s="168">
        <f t="shared" si="0"/>
        <v>0.99773360689313717</v>
      </c>
    </row>
    <row r="70" spans="1:8" ht="26.25" customHeight="1" x14ac:dyDescent="0.45">
      <c r="A70" s="521" t="s">
        <v>76</v>
      </c>
      <c r="B70" s="522"/>
      <c r="C70" s="516"/>
      <c r="D70" s="519"/>
      <c r="E70" s="167">
        <v>3</v>
      </c>
      <c r="F70" s="120">
        <v>127549439</v>
      </c>
      <c r="G70" s="252">
        <f>IF(ISBLANK(F70),"-",(F70/$D$50*$D$47*$B$68)*($B$57/$D$68))</f>
        <v>798.03701907160178</v>
      </c>
      <c r="H70" s="168">
        <f t="shared" si="0"/>
        <v>0.99754627383950223</v>
      </c>
    </row>
    <row r="71" spans="1:8" ht="27" customHeight="1" x14ac:dyDescent="0.45">
      <c r="A71" s="523"/>
      <c r="B71" s="524"/>
      <c r="C71" s="517"/>
      <c r="D71" s="520"/>
      <c r="E71" s="170">
        <v>4</v>
      </c>
      <c r="F71" s="171"/>
      <c r="G71" s="253" t="str">
        <f>IF(ISBLANK(F71),"-",(F71/$D$50*$D$47*$B$68)*($B$57/$D$68))</f>
        <v>-</v>
      </c>
      <c r="H71" s="177" t="str">
        <f t="shared" si="0"/>
        <v>-</v>
      </c>
    </row>
    <row r="72" spans="1:8" ht="26.25" customHeight="1" x14ac:dyDescent="0.45">
      <c r="A72" s="178"/>
      <c r="B72" s="178"/>
      <c r="C72" s="178"/>
      <c r="D72" s="178"/>
      <c r="E72" s="178"/>
      <c r="F72" s="180" t="s">
        <v>69</v>
      </c>
      <c r="G72" s="258">
        <f>AVERAGE(G60:G71)</f>
        <v>801.99231912621565</v>
      </c>
      <c r="H72" s="181">
        <f>AVERAGE(H60:H71)</f>
        <v>1.0024903989077698</v>
      </c>
    </row>
    <row r="73" spans="1:8" ht="26.25" customHeight="1" x14ac:dyDescent="0.45">
      <c r="C73" s="178"/>
      <c r="D73" s="178"/>
      <c r="E73" s="178"/>
      <c r="F73" s="182" t="s">
        <v>82</v>
      </c>
      <c r="G73" s="254">
        <f>STDEV(G60:G71)/G72</f>
        <v>1.2295371006517095E-2</v>
      </c>
      <c r="H73" s="254">
        <f>STDEV(H60:H71)/H72</f>
        <v>1.229537100651709E-2</v>
      </c>
    </row>
    <row r="74" spans="1:8" ht="27" customHeight="1" x14ac:dyDescent="0.45">
      <c r="A74" s="178"/>
      <c r="B74" s="178"/>
      <c r="C74" s="179"/>
      <c r="D74" s="179"/>
      <c r="E74" s="183"/>
      <c r="F74" s="184" t="s">
        <v>19</v>
      </c>
      <c r="G74" s="185">
        <f>COUNT(G60:G71)</f>
        <v>9</v>
      </c>
      <c r="H74" s="185">
        <f>COUNT(H60:H71)</f>
        <v>9</v>
      </c>
    </row>
    <row r="76" spans="1:8" ht="26.25" customHeight="1" x14ac:dyDescent="0.45">
      <c r="A76" s="94" t="s">
        <v>104</v>
      </c>
      <c r="B76" s="186" t="s">
        <v>105</v>
      </c>
      <c r="C76" s="502" t="str">
        <f>B26</f>
        <v>Sulphamethoxazole</v>
      </c>
      <c r="D76" s="502"/>
      <c r="E76" s="187" t="s">
        <v>106</v>
      </c>
      <c r="F76" s="187"/>
      <c r="G76" s="188">
        <f>H72</f>
        <v>1.0024903989077698</v>
      </c>
      <c r="H76" s="189"/>
    </row>
    <row r="77" spans="1:8" ht="18" x14ac:dyDescent="0.35">
      <c r="A77" s="93" t="s">
        <v>107</v>
      </c>
      <c r="B77" s="93" t="s">
        <v>108</v>
      </c>
    </row>
    <row r="78" spans="1:8" ht="18" x14ac:dyDescent="0.35">
      <c r="A78" s="93"/>
      <c r="B78" s="93"/>
    </row>
    <row r="79" spans="1:8" ht="26.25" customHeight="1" x14ac:dyDescent="0.45">
      <c r="A79" s="94" t="s">
        <v>4</v>
      </c>
      <c r="B79" s="525" t="str">
        <f>B26</f>
        <v>Sulphamethoxazole</v>
      </c>
      <c r="C79" s="525"/>
    </row>
    <row r="80" spans="1:8" ht="26.25" customHeight="1" x14ac:dyDescent="0.45">
      <c r="A80" s="95" t="s">
        <v>46</v>
      </c>
      <c r="B80" s="525" t="str">
        <f>B27</f>
        <v>S 12 4</v>
      </c>
      <c r="C80" s="525"/>
    </row>
    <row r="81" spans="1:10" ht="27" customHeight="1" x14ac:dyDescent="0.45">
      <c r="A81" s="95" t="s">
        <v>6</v>
      </c>
      <c r="B81" s="190">
        <f>B28</f>
        <v>99.65</v>
      </c>
    </row>
    <row r="82" spans="1:10" s="440" customFormat="1" ht="27" customHeight="1" x14ac:dyDescent="0.5">
      <c r="A82" s="95" t="s">
        <v>47</v>
      </c>
      <c r="B82" s="97">
        <v>0</v>
      </c>
      <c r="C82" s="504" t="s">
        <v>48</v>
      </c>
      <c r="D82" s="505"/>
      <c r="E82" s="505"/>
      <c r="F82" s="505"/>
      <c r="G82" s="506"/>
      <c r="H82" s="14"/>
      <c r="I82" s="98"/>
      <c r="J82" s="98"/>
    </row>
    <row r="83" spans="1:10" s="440" customFormat="1" ht="19.5" customHeight="1" x14ac:dyDescent="0.35">
      <c r="A83" s="95" t="s">
        <v>49</v>
      </c>
      <c r="B83" s="99">
        <f>B81-B82</f>
        <v>99.65</v>
      </c>
      <c r="C83" s="100"/>
      <c r="D83" s="100"/>
      <c r="E83" s="100"/>
      <c r="F83" s="100"/>
      <c r="G83" s="101"/>
      <c r="H83" s="14"/>
      <c r="I83" s="98"/>
      <c r="J83" s="98"/>
    </row>
    <row r="84" spans="1:10" s="440" customFormat="1" ht="27" customHeight="1" x14ac:dyDescent="0.45">
      <c r="A84" s="95" t="s">
        <v>50</v>
      </c>
      <c r="B84" s="102">
        <v>1</v>
      </c>
      <c r="C84" s="507" t="s">
        <v>109</v>
      </c>
      <c r="D84" s="508"/>
      <c r="E84" s="508"/>
      <c r="F84" s="508"/>
      <c r="G84" s="508"/>
      <c r="H84" s="509"/>
      <c r="I84" s="98"/>
      <c r="J84" s="98"/>
    </row>
    <row r="85" spans="1:10" s="440" customFormat="1" ht="27" customHeight="1" x14ac:dyDescent="0.45">
      <c r="A85" s="95" t="s">
        <v>52</v>
      </c>
      <c r="B85" s="102">
        <v>1</v>
      </c>
      <c r="C85" s="507" t="s">
        <v>110</v>
      </c>
      <c r="D85" s="508"/>
      <c r="E85" s="508"/>
      <c r="F85" s="508"/>
      <c r="G85" s="508"/>
      <c r="H85" s="509"/>
      <c r="I85" s="98"/>
      <c r="J85" s="98"/>
    </row>
    <row r="86" spans="1:10" s="440" customFormat="1" ht="18" x14ac:dyDescent="0.35">
      <c r="A86" s="95"/>
      <c r="B86" s="104"/>
      <c r="C86" s="105"/>
      <c r="D86" s="105"/>
      <c r="E86" s="105"/>
      <c r="F86" s="105"/>
      <c r="G86" s="105"/>
      <c r="H86" s="105"/>
      <c r="I86" s="98"/>
      <c r="J86" s="98"/>
    </row>
    <row r="87" spans="1:10" s="440" customFormat="1" ht="18" x14ac:dyDescent="0.35">
      <c r="A87" s="95" t="s">
        <v>54</v>
      </c>
      <c r="B87" s="106">
        <f>B84/B85</f>
        <v>1</v>
      </c>
      <c r="C87" s="85" t="s">
        <v>55</v>
      </c>
      <c r="D87" s="85"/>
      <c r="E87" s="85"/>
      <c r="F87" s="85"/>
      <c r="G87" s="85"/>
      <c r="I87" s="98"/>
      <c r="J87" s="98"/>
    </row>
    <row r="88" spans="1:10" ht="19.5" customHeight="1" x14ac:dyDescent="0.35">
      <c r="A88" s="93"/>
      <c r="B88" s="93"/>
    </row>
    <row r="89" spans="1:10" ht="27" customHeight="1" x14ac:dyDescent="0.45">
      <c r="A89" s="107" t="s">
        <v>56</v>
      </c>
      <c r="B89" s="108">
        <v>25</v>
      </c>
      <c r="D89" s="191" t="s">
        <v>57</v>
      </c>
      <c r="E89" s="192"/>
      <c r="F89" s="510" t="s">
        <v>58</v>
      </c>
      <c r="G89" s="511"/>
    </row>
    <row r="90" spans="1:10" ht="27" customHeight="1" x14ac:dyDescent="0.45">
      <c r="A90" s="109" t="s">
        <v>59</v>
      </c>
      <c r="B90" s="110">
        <v>10</v>
      </c>
      <c r="C90" s="193" t="s">
        <v>60</v>
      </c>
      <c r="D90" s="112" t="s">
        <v>61</v>
      </c>
      <c r="E90" s="113" t="s">
        <v>62</v>
      </c>
      <c r="F90" s="112" t="s">
        <v>61</v>
      </c>
      <c r="G90" s="194" t="s">
        <v>62</v>
      </c>
      <c r="I90" s="114" t="s">
        <v>63</v>
      </c>
    </row>
    <row r="91" spans="1:10" ht="26.25" customHeight="1" x14ac:dyDescent="0.45">
      <c r="A91" s="109" t="s">
        <v>64</v>
      </c>
      <c r="B91" s="110">
        <v>50</v>
      </c>
      <c r="C91" s="195">
        <v>1</v>
      </c>
      <c r="D91" s="294">
        <v>129338659</v>
      </c>
      <c r="E91" s="116">
        <f>IF(ISBLANK(D91),"-",$D$101/$D$98*D91)</f>
        <v>140765613.87120527</v>
      </c>
      <c r="F91" s="294">
        <v>133112355</v>
      </c>
      <c r="G91" s="117">
        <f>IF(ISBLANK(F91),"-",$D$101/$F$98*F91)</f>
        <v>143750212.10232586</v>
      </c>
      <c r="I91" s="118"/>
    </row>
    <row r="92" spans="1:10" ht="26.25" customHeight="1" x14ac:dyDescent="0.45">
      <c r="A92" s="109" t="s">
        <v>65</v>
      </c>
      <c r="B92" s="110">
        <v>1</v>
      </c>
      <c r="C92" s="179">
        <v>2</v>
      </c>
      <c r="D92" s="299">
        <v>129263949</v>
      </c>
      <c r="E92" s="121">
        <f>IF(ISBLANK(D92),"-",$D$101/$D$98*D92)</f>
        <v>140684303.3095091</v>
      </c>
      <c r="F92" s="299">
        <v>133179663</v>
      </c>
      <c r="G92" s="122">
        <f>IF(ISBLANK(F92),"-",$D$101/$F$98*F92)</f>
        <v>143822899.11380711</v>
      </c>
      <c r="I92" s="512">
        <f>ABS((F96/D96*D95)-F95)/D95</f>
        <v>2.2197065576302657E-2</v>
      </c>
    </row>
    <row r="93" spans="1:10" ht="26.25" customHeight="1" x14ac:dyDescent="0.45">
      <c r="A93" s="109" t="s">
        <v>66</v>
      </c>
      <c r="B93" s="110">
        <v>1</v>
      </c>
      <c r="C93" s="179">
        <v>3</v>
      </c>
      <c r="D93" s="299">
        <v>129295976</v>
      </c>
      <c r="E93" s="121">
        <f>IF(ISBLANK(D93),"-",$D$101/$D$98*D93)</f>
        <v>140719159.86632136</v>
      </c>
      <c r="F93" s="299">
        <v>133245755</v>
      </c>
      <c r="G93" s="122">
        <f>IF(ISBLANK(F93),"-",$D$101/$F$98*F93)</f>
        <v>143894272.94697434</v>
      </c>
      <c r="I93" s="512"/>
    </row>
    <row r="94" spans="1:10" ht="27" customHeight="1" x14ac:dyDescent="0.45">
      <c r="A94" s="109" t="s">
        <v>67</v>
      </c>
      <c r="B94" s="110">
        <v>1</v>
      </c>
      <c r="C94" s="196">
        <v>4</v>
      </c>
      <c r="D94" s="125"/>
      <c r="E94" s="126" t="str">
        <f>IF(ISBLANK(D94),"-",$D$101/$D$98*D94)</f>
        <v>-</v>
      </c>
      <c r="F94" s="197"/>
      <c r="G94" s="127" t="str">
        <f>IF(ISBLANK(F94),"-",$D$101/$F$98*F94)</f>
        <v>-</v>
      </c>
      <c r="I94" s="128"/>
    </row>
    <row r="95" spans="1:10" ht="27" customHeight="1" x14ac:dyDescent="0.45">
      <c r="A95" s="109" t="s">
        <v>68</v>
      </c>
      <c r="B95" s="110">
        <v>1</v>
      </c>
      <c r="C95" s="198" t="s">
        <v>69</v>
      </c>
      <c r="D95" s="199">
        <f>AVERAGE(D91:D94)</f>
        <v>129299528</v>
      </c>
      <c r="E95" s="131">
        <f>AVERAGE(E91:E94)</f>
        <v>140723025.68234524</v>
      </c>
      <c r="F95" s="200">
        <f>AVERAGE(F91:F94)</f>
        <v>133179257.66666667</v>
      </c>
      <c r="G95" s="201">
        <f>AVERAGE(G91:G94)</f>
        <v>143822461.38770244</v>
      </c>
    </row>
    <row r="96" spans="1:10" ht="26.25" customHeight="1" x14ac:dyDescent="0.45">
      <c r="A96" s="109" t="s">
        <v>70</v>
      </c>
      <c r="B96" s="96">
        <v>1</v>
      </c>
      <c r="C96" s="202" t="s">
        <v>111</v>
      </c>
      <c r="D96" s="203">
        <v>20.49</v>
      </c>
      <c r="E96" s="123"/>
      <c r="F96" s="134">
        <v>20.65</v>
      </c>
    </row>
    <row r="97" spans="1:8" ht="26.25" customHeight="1" x14ac:dyDescent="0.45">
      <c r="A97" s="109" t="s">
        <v>72</v>
      </c>
      <c r="B97" s="96">
        <v>1</v>
      </c>
      <c r="C97" s="204" t="s">
        <v>112</v>
      </c>
      <c r="D97" s="205">
        <f>D96*$B$87</f>
        <v>20.49</v>
      </c>
      <c r="E97" s="137"/>
      <c r="F97" s="136">
        <f>F96*$B$87</f>
        <v>20.65</v>
      </c>
    </row>
    <row r="98" spans="1:8" ht="19.5" customHeight="1" x14ac:dyDescent="0.35">
      <c r="A98" s="109" t="s">
        <v>74</v>
      </c>
      <c r="B98" s="206">
        <f>(B97/B96)*(B95/B94)*(B93/B92)*(B91/B90)*B89</f>
        <v>125</v>
      </c>
      <c r="C98" s="204" t="s">
        <v>113</v>
      </c>
      <c r="D98" s="207">
        <f>D97*$B$83/100</f>
        <v>20.418284999999997</v>
      </c>
      <c r="E98" s="140"/>
      <c r="F98" s="139">
        <f>F97*$B$83/100</f>
        <v>20.577725000000001</v>
      </c>
    </row>
    <row r="99" spans="1:8" ht="19.5" customHeight="1" x14ac:dyDescent="0.35">
      <c r="A99" s="498" t="s">
        <v>76</v>
      </c>
      <c r="B99" s="513"/>
      <c r="C99" s="204" t="s">
        <v>77</v>
      </c>
      <c r="D99" s="208">
        <f>D98/$B$98</f>
        <v>0.16334627999999998</v>
      </c>
      <c r="E99" s="140"/>
      <c r="F99" s="143">
        <f>F98/$B$98</f>
        <v>0.16462180000000001</v>
      </c>
      <c r="G99" s="209"/>
      <c r="H99" s="132"/>
    </row>
    <row r="100" spans="1:8" ht="19.5" customHeight="1" x14ac:dyDescent="0.35">
      <c r="A100" s="500"/>
      <c r="B100" s="514"/>
      <c r="C100" s="204" t="s">
        <v>78</v>
      </c>
      <c r="D100" s="210">
        <f>$B$56/$B$116</f>
        <v>0.17777777777777778</v>
      </c>
      <c r="F100" s="148"/>
      <c r="G100" s="211"/>
      <c r="H100" s="132"/>
    </row>
    <row r="101" spans="1:8" ht="18" x14ac:dyDescent="0.35">
      <c r="C101" s="204" t="s">
        <v>79</v>
      </c>
      <c r="D101" s="205">
        <f>D100*$B$98</f>
        <v>22.222222222222221</v>
      </c>
      <c r="F101" s="148"/>
      <c r="G101" s="209"/>
      <c r="H101" s="132"/>
    </row>
    <row r="102" spans="1:8" ht="19.5" customHeight="1" x14ac:dyDescent="0.35">
      <c r="C102" s="212" t="s">
        <v>80</v>
      </c>
      <c r="D102" s="213">
        <f>D101/B34</f>
        <v>22.222222222222221</v>
      </c>
      <c r="F102" s="152"/>
      <c r="G102" s="209"/>
      <c r="H102" s="132"/>
    </row>
    <row r="103" spans="1:8" ht="18" x14ac:dyDescent="0.35">
      <c r="C103" s="214" t="s">
        <v>115</v>
      </c>
      <c r="D103" s="215">
        <f>AVERAGE(E91:E94,G91:G94)</f>
        <v>142272743.53502384</v>
      </c>
      <c r="F103" s="152"/>
      <c r="G103" s="216"/>
      <c r="H103" s="132"/>
    </row>
    <row r="104" spans="1:8" ht="18" x14ac:dyDescent="0.35">
      <c r="C104" s="182" t="s">
        <v>82</v>
      </c>
      <c r="D104" s="217">
        <f>STDEV(E91:E94,G91:G94)/D103</f>
        <v>1.1937901307929938E-2</v>
      </c>
      <c r="F104" s="152"/>
      <c r="G104" s="209"/>
      <c r="H104" s="132"/>
    </row>
    <row r="105" spans="1:8" ht="19.5" customHeight="1" x14ac:dyDescent="0.35">
      <c r="C105" s="184" t="s">
        <v>19</v>
      </c>
      <c r="D105" s="218">
        <f>COUNT(E91:E94,G91:G94)</f>
        <v>6</v>
      </c>
      <c r="F105" s="152"/>
      <c r="G105" s="209"/>
      <c r="H105" s="132"/>
    </row>
    <row r="106" spans="1:8" ht="19.5" customHeight="1" x14ac:dyDescent="0.35">
      <c r="A106" s="156"/>
      <c r="B106" s="156"/>
      <c r="C106" s="156"/>
      <c r="D106" s="156"/>
      <c r="E106" s="156"/>
    </row>
    <row r="107" spans="1:8" ht="26.25" customHeight="1" x14ac:dyDescent="0.45">
      <c r="A107" s="107" t="s">
        <v>116</v>
      </c>
      <c r="B107" s="108">
        <v>900</v>
      </c>
      <c r="C107" s="219" t="s">
        <v>133</v>
      </c>
      <c r="D107" s="220" t="s">
        <v>61</v>
      </c>
      <c r="E107" s="221" t="s">
        <v>117</v>
      </c>
      <c r="F107" s="222" t="s">
        <v>118</v>
      </c>
    </row>
    <row r="108" spans="1:8" ht="26.25" customHeight="1" x14ac:dyDescent="0.45">
      <c r="A108" s="109" t="s">
        <v>119</v>
      </c>
      <c r="B108" s="110">
        <v>2</v>
      </c>
      <c r="C108" s="223">
        <v>1</v>
      </c>
      <c r="D108" s="224">
        <v>137391658</v>
      </c>
      <c r="E108" s="255">
        <f t="shared" ref="E108:E113" si="1">IF(ISBLANK(D108),"-",D108/$D$103*$D$100*$B$116)</f>
        <v>772.55364357925816</v>
      </c>
      <c r="F108" s="225">
        <f t="shared" ref="F108:F113" si="2">IF(ISBLANK(D108), "-", E108/$B$56)</f>
        <v>0.96569205447407269</v>
      </c>
    </row>
    <row r="109" spans="1:8" ht="26.25" customHeight="1" x14ac:dyDescent="0.45">
      <c r="A109" s="109" t="s">
        <v>93</v>
      </c>
      <c r="B109" s="110">
        <v>10</v>
      </c>
      <c r="C109" s="223">
        <v>2</v>
      </c>
      <c r="D109" s="224">
        <v>132658561</v>
      </c>
      <c r="E109" s="256">
        <f t="shared" si="1"/>
        <v>745.93942706864539</v>
      </c>
      <c r="F109" s="226">
        <f t="shared" si="2"/>
        <v>0.93242428383580678</v>
      </c>
      <c r="H109" s="549"/>
    </row>
    <row r="110" spans="1:8" ht="26.25" customHeight="1" x14ac:dyDescent="0.45">
      <c r="A110" s="109" t="s">
        <v>94</v>
      </c>
      <c r="B110" s="110">
        <v>1</v>
      </c>
      <c r="C110" s="223">
        <v>3</v>
      </c>
      <c r="D110" s="224">
        <v>131656807</v>
      </c>
      <c r="E110" s="256">
        <f t="shared" si="1"/>
        <v>740.3065617700106</v>
      </c>
      <c r="F110" s="226">
        <f t="shared" si="2"/>
        <v>0.92538320221251325</v>
      </c>
      <c r="G110" s="389"/>
      <c r="H110" s="549"/>
    </row>
    <row r="111" spans="1:8" ht="26.25" customHeight="1" x14ac:dyDescent="0.45">
      <c r="A111" s="109" t="s">
        <v>95</v>
      </c>
      <c r="B111" s="110">
        <v>1</v>
      </c>
      <c r="C111" s="223">
        <v>4</v>
      </c>
      <c r="D111" s="224">
        <v>133053844</v>
      </c>
      <c r="E111" s="256">
        <f t="shared" si="1"/>
        <v>748.16210438647022</v>
      </c>
      <c r="F111" s="226">
        <f t="shared" si="2"/>
        <v>0.93520263048308783</v>
      </c>
      <c r="G111" s="389"/>
      <c r="H111" s="549"/>
    </row>
    <row r="112" spans="1:8" ht="26.25" customHeight="1" x14ac:dyDescent="0.45">
      <c r="A112" s="109" t="s">
        <v>96</v>
      </c>
      <c r="B112" s="110">
        <v>1</v>
      </c>
      <c r="C112" s="223">
        <v>5</v>
      </c>
      <c r="D112" s="224">
        <v>133717982</v>
      </c>
      <c r="E112" s="256">
        <f t="shared" si="1"/>
        <v>751.89655405545545</v>
      </c>
      <c r="F112" s="226">
        <f t="shared" si="2"/>
        <v>0.93987069256931932</v>
      </c>
      <c r="G112" s="389"/>
      <c r="H112" s="549"/>
    </row>
    <row r="113" spans="1:9" ht="26.25" customHeight="1" x14ac:dyDescent="0.45">
      <c r="A113" s="109" t="s">
        <v>98</v>
      </c>
      <c r="B113" s="110">
        <v>1</v>
      </c>
      <c r="C113" s="227">
        <v>6</v>
      </c>
      <c r="D113" s="228">
        <v>133236451</v>
      </c>
      <c r="E113" s="257">
        <f t="shared" si="1"/>
        <v>749.18890401351223</v>
      </c>
      <c r="F113" s="229">
        <f t="shared" si="2"/>
        <v>0.93648613001689029</v>
      </c>
      <c r="G113" s="389"/>
      <c r="H113" s="549"/>
    </row>
    <row r="114" spans="1:9" ht="26.25" customHeight="1" x14ac:dyDescent="0.45">
      <c r="A114" s="109" t="s">
        <v>99</v>
      </c>
      <c r="B114" s="110">
        <v>1</v>
      </c>
      <c r="C114" s="223"/>
      <c r="D114" s="179"/>
      <c r="E114" s="84"/>
      <c r="F114" s="230"/>
      <c r="G114" s="389"/>
      <c r="H114" s="549"/>
    </row>
    <row r="115" spans="1:9" ht="26.25" customHeight="1" x14ac:dyDescent="0.45">
      <c r="A115" s="109" t="s">
        <v>100</v>
      </c>
      <c r="B115" s="110">
        <v>1</v>
      </c>
      <c r="C115" s="223"/>
      <c r="D115" s="231" t="s">
        <v>69</v>
      </c>
      <c r="E115" s="259">
        <f>AVERAGE(E108:E113)</f>
        <v>751.34119914555868</v>
      </c>
      <c r="F115" s="232">
        <f>AVERAGE(F108:F113)</f>
        <v>0.93917649893194843</v>
      </c>
    </row>
    <row r="116" spans="1:9" ht="27" customHeight="1" x14ac:dyDescent="0.45">
      <c r="A116" s="109" t="s">
        <v>101</v>
      </c>
      <c r="B116" s="138">
        <f>(B115/B114)*(B113/B112)*(B111/B110)*(B109/B108)*B107</f>
        <v>4500</v>
      </c>
      <c r="C116" s="233"/>
      <c r="D116" s="198" t="s">
        <v>82</v>
      </c>
      <c r="E116" s="234">
        <f>STDEV(E108:E113)/E115</f>
        <v>1.477247293633973E-2</v>
      </c>
      <c r="F116" s="234">
        <f>STDEV(F108:F113)/F115</f>
        <v>1.4772472936339716E-2</v>
      </c>
      <c r="I116" s="84"/>
    </row>
    <row r="117" spans="1:9" ht="27" customHeight="1" x14ac:dyDescent="0.45">
      <c r="A117" s="498" t="s">
        <v>76</v>
      </c>
      <c r="B117" s="499"/>
      <c r="C117" s="235"/>
      <c r="D117" s="236" t="s">
        <v>19</v>
      </c>
      <c r="E117" s="237">
        <f>COUNT(E108:E113)</f>
        <v>6</v>
      </c>
      <c r="F117" s="237">
        <f>COUNT(F108:F113)</f>
        <v>6</v>
      </c>
      <c r="I117" s="84"/>
    </row>
    <row r="118" spans="1:9" ht="19.5" customHeight="1" x14ac:dyDescent="0.35">
      <c r="A118" s="500"/>
      <c r="B118" s="501"/>
      <c r="C118" s="84"/>
      <c r="D118" s="84"/>
      <c r="E118" s="84"/>
      <c r="F118" s="179"/>
      <c r="G118" s="84"/>
      <c r="H118" s="84"/>
      <c r="I118" s="84"/>
    </row>
    <row r="119" spans="1:9" ht="18" x14ac:dyDescent="0.35">
      <c r="A119" s="246"/>
      <c r="B119" s="105"/>
      <c r="C119" s="84"/>
      <c r="D119" s="84"/>
      <c r="E119" s="84"/>
      <c r="F119" s="179"/>
      <c r="G119" s="84"/>
      <c r="H119" s="84"/>
      <c r="I119" s="84"/>
    </row>
    <row r="120" spans="1:9" ht="26.25" customHeight="1" x14ac:dyDescent="0.45">
      <c r="A120" s="94" t="s">
        <v>104</v>
      </c>
      <c r="B120" s="186" t="s">
        <v>120</v>
      </c>
      <c r="C120" s="502" t="str">
        <f>B79</f>
        <v>Sulphamethoxazole</v>
      </c>
      <c r="D120" s="502"/>
      <c r="E120" s="187" t="s">
        <v>121</v>
      </c>
      <c r="F120" s="187"/>
      <c r="G120" s="188">
        <f>F115</f>
        <v>0.93917649893194843</v>
      </c>
      <c r="H120" s="84"/>
      <c r="I120" s="84"/>
    </row>
    <row r="121" spans="1:9" ht="19.5" customHeight="1" x14ac:dyDescent="0.35">
      <c r="A121" s="238"/>
      <c r="B121" s="238"/>
      <c r="C121" s="239"/>
      <c r="D121" s="239"/>
      <c r="E121" s="239"/>
      <c r="F121" s="239"/>
      <c r="G121" s="239"/>
      <c r="H121" s="239"/>
    </row>
    <row r="122" spans="1:9" ht="18" x14ac:dyDescent="0.35">
      <c r="B122" s="503" t="s">
        <v>24</v>
      </c>
      <c r="C122" s="503"/>
      <c r="E122" s="193" t="s">
        <v>25</v>
      </c>
      <c r="F122" s="240"/>
      <c r="G122" s="503" t="s">
        <v>26</v>
      </c>
      <c r="H122" s="503"/>
    </row>
    <row r="123" spans="1:9" ht="69.900000000000006" customHeight="1" x14ac:dyDescent="0.35">
      <c r="A123" s="241" t="s">
        <v>27</v>
      </c>
      <c r="B123" s="242"/>
      <c r="C123" s="242"/>
      <c r="E123" s="242"/>
      <c r="F123" s="84"/>
      <c r="G123" s="243"/>
      <c r="H123" s="243"/>
    </row>
    <row r="124" spans="1:9" ht="69.900000000000006" customHeight="1" x14ac:dyDescent="0.35">
      <c r="A124" s="241" t="s">
        <v>28</v>
      </c>
      <c r="B124" s="244"/>
      <c r="C124" s="244" t="s">
        <v>128</v>
      </c>
      <c r="E124" s="548">
        <v>42373</v>
      </c>
      <c r="F124" s="84"/>
      <c r="G124" s="245"/>
      <c r="H124" s="245"/>
    </row>
    <row r="125" spans="1:9" ht="18" x14ac:dyDescent="0.35">
      <c r="A125" s="178"/>
      <c r="B125" s="178"/>
      <c r="C125" s="179"/>
      <c r="D125" s="179"/>
      <c r="E125" s="179"/>
      <c r="F125" s="183"/>
      <c r="G125" s="179"/>
      <c r="H125" s="179"/>
      <c r="I125" s="84"/>
    </row>
    <row r="126" spans="1:9" ht="18" x14ac:dyDescent="0.35">
      <c r="A126" s="178"/>
      <c r="B126" s="178"/>
      <c r="C126" s="179"/>
      <c r="D126" s="179"/>
      <c r="E126" s="179"/>
      <c r="F126" s="183"/>
      <c r="G126" s="179"/>
      <c r="H126" s="179"/>
      <c r="I126" s="84"/>
    </row>
    <row r="127" spans="1:9" ht="18" x14ac:dyDescent="0.35">
      <c r="A127" s="178"/>
      <c r="B127" s="178"/>
      <c r="C127" s="179"/>
      <c r="D127" s="179"/>
      <c r="E127" s="179"/>
      <c r="F127" s="183"/>
      <c r="G127" s="179"/>
      <c r="H127" s="179"/>
      <c r="I127" s="84"/>
    </row>
    <row r="128" spans="1:9" ht="18" x14ac:dyDescent="0.35">
      <c r="A128" s="178"/>
      <c r="B128" s="178"/>
      <c r="C128" s="179"/>
      <c r="D128" s="179"/>
      <c r="E128" s="179"/>
      <c r="F128" s="183"/>
      <c r="G128" s="179"/>
      <c r="H128" s="179"/>
      <c r="I128" s="84"/>
    </row>
    <row r="129" spans="1:9" ht="18" x14ac:dyDescent="0.35">
      <c r="A129" s="178"/>
      <c r="B129" s="178"/>
      <c r="C129" s="179"/>
      <c r="D129" s="179"/>
      <c r="E129" s="179"/>
      <c r="F129" s="183"/>
      <c r="G129" s="179"/>
      <c r="H129" s="179"/>
      <c r="I129" s="84"/>
    </row>
    <row r="130" spans="1:9" ht="18" x14ac:dyDescent="0.35">
      <c r="A130" s="178"/>
      <c r="B130" s="178"/>
      <c r="C130" s="179"/>
      <c r="D130" s="179"/>
      <c r="E130" s="179"/>
      <c r="F130" s="183"/>
      <c r="G130" s="179"/>
      <c r="H130" s="179"/>
      <c r="I130" s="84"/>
    </row>
    <row r="131" spans="1:9" ht="18" x14ac:dyDescent="0.35">
      <c r="A131" s="178"/>
      <c r="B131" s="178"/>
      <c r="C131" s="179"/>
      <c r="D131" s="179"/>
      <c r="E131" s="179"/>
      <c r="F131" s="183"/>
      <c r="G131" s="179"/>
      <c r="H131" s="179"/>
      <c r="I131" s="84"/>
    </row>
    <row r="132" spans="1:9" ht="18" x14ac:dyDescent="0.35">
      <c r="A132" s="178"/>
      <c r="B132" s="178"/>
      <c r="C132" s="179"/>
      <c r="D132" s="179"/>
      <c r="E132" s="179"/>
      <c r="F132" s="183"/>
      <c r="G132" s="179"/>
      <c r="H132" s="179"/>
      <c r="I132" s="84"/>
    </row>
    <row r="133" spans="1:9" ht="18" x14ac:dyDescent="0.35">
      <c r="A133" s="178"/>
      <c r="B133" s="178"/>
      <c r="C133" s="179"/>
      <c r="D133" s="179"/>
      <c r="E133" s="179"/>
      <c r="F133" s="183"/>
      <c r="G133" s="179"/>
      <c r="H133" s="179"/>
      <c r="I133" s="84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B26:C26"/>
    <mergeCell ref="A16:H16"/>
    <mergeCell ref="A17:H17"/>
    <mergeCell ref="B18:C18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"/>
  <sheetViews>
    <sheetView topLeftCell="B94" zoomScale="70" zoomScaleNormal="70" zoomScalePageLayoutView="55" workbookViewId="0">
      <selection activeCell="F129" sqref="F12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9.109375" style="2"/>
    <col min="11" max="11" width="14" style="439" customWidth="1"/>
    <col min="12" max="16384" width="9.109375" style="439"/>
  </cols>
  <sheetData>
    <row r="1" spans="1:9" ht="18.75" customHeight="1" x14ac:dyDescent="0.3">
      <c r="A1" s="496" t="s">
        <v>43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3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3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3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3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3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3">
      <c r="A8" s="497" t="s">
        <v>44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3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3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3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3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3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3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5">
      <c r="A15" s="261"/>
    </row>
    <row r="16" spans="1:9" ht="19.5" customHeight="1" x14ac:dyDescent="0.35">
      <c r="A16" s="539" t="s">
        <v>29</v>
      </c>
      <c r="B16" s="540"/>
      <c r="C16" s="540"/>
      <c r="D16" s="540"/>
      <c r="E16" s="540"/>
      <c r="F16" s="540"/>
      <c r="G16" s="540"/>
      <c r="H16" s="541"/>
    </row>
    <row r="17" spans="1:12" ht="20.25" customHeight="1" x14ac:dyDescent="0.3">
      <c r="A17" s="542" t="s">
        <v>45</v>
      </c>
      <c r="B17" s="542"/>
      <c r="C17" s="542"/>
      <c r="D17" s="542"/>
      <c r="E17" s="542"/>
      <c r="F17" s="542"/>
      <c r="G17" s="542"/>
      <c r="H17" s="542"/>
    </row>
    <row r="18" spans="1:12" ht="26.25" customHeight="1" x14ac:dyDescent="0.5">
      <c r="A18" s="263" t="s">
        <v>31</v>
      </c>
      <c r="B18" s="538" t="s">
        <v>5</v>
      </c>
      <c r="C18" s="538"/>
      <c r="D18" s="425"/>
      <c r="E18" s="264"/>
      <c r="F18" s="265"/>
      <c r="G18" s="265"/>
      <c r="H18" s="265"/>
    </row>
    <row r="19" spans="1:12" ht="26.25" customHeight="1" x14ac:dyDescent="0.5">
      <c r="A19" s="263" t="s">
        <v>32</v>
      </c>
      <c r="B19" s="266" t="s">
        <v>7</v>
      </c>
      <c r="C19" s="438">
        <v>29</v>
      </c>
      <c r="D19" s="265"/>
      <c r="E19" s="265"/>
      <c r="F19" s="265"/>
      <c r="G19" s="265"/>
      <c r="H19" s="265"/>
    </row>
    <row r="20" spans="1:12" ht="26.25" customHeight="1" x14ac:dyDescent="0.5">
      <c r="A20" s="263" t="s">
        <v>33</v>
      </c>
      <c r="B20" s="543" t="s">
        <v>132</v>
      </c>
      <c r="C20" s="543"/>
      <c r="D20" s="265"/>
      <c r="E20" s="265"/>
      <c r="F20" s="265"/>
      <c r="G20" s="265"/>
      <c r="H20" s="265"/>
    </row>
    <row r="21" spans="1:12" ht="26.25" customHeight="1" x14ac:dyDescent="0.5">
      <c r="A21" s="263" t="s">
        <v>34</v>
      </c>
      <c r="B21" s="543" t="s">
        <v>131</v>
      </c>
      <c r="C21" s="543"/>
      <c r="D21" s="543"/>
      <c r="E21" s="543"/>
      <c r="F21" s="543"/>
      <c r="G21" s="543"/>
      <c r="H21" s="543"/>
      <c r="I21" s="267"/>
    </row>
    <row r="22" spans="1:12" ht="26.25" customHeight="1" x14ac:dyDescent="0.5">
      <c r="A22" s="263" t="s">
        <v>35</v>
      </c>
      <c r="B22" s="268" t="s">
        <v>11</v>
      </c>
      <c r="C22" s="265"/>
      <c r="D22" s="265"/>
      <c r="E22" s="265"/>
      <c r="F22" s="265"/>
      <c r="G22" s="265"/>
      <c r="H22" s="265"/>
    </row>
    <row r="23" spans="1:12" ht="26.25" customHeight="1" x14ac:dyDescent="0.5">
      <c r="A23" s="263" t="s">
        <v>36</v>
      </c>
      <c r="B23" s="268"/>
      <c r="C23" s="265"/>
      <c r="D23" s="265"/>
      <c r="E23" s="265"/>
      <c r="F23" s="265"/>
      <c r="G23" s="265"/>
      <c r="H23" s="265"/>
    </row>
    <row r="24" spans="1:12" ht="18" x14ac:dyDescent="0.35">
      <c r="A24" s="263"/>
      <c r="B24" s="269"/>
    </row>
    <row r="25" spans="1:12" ht="18" x14ac:dyDescent="0.35">
      <c r="A25" s="270" t="s">
        <v>1</v>
      </c>
      <c r="B25" s="269"/>
    </row>
    <row r="26" spans="1:12" ht="26.25" customHeight="1" x14ac:dyDescent="0.45">
      <c r="A26" s="271" t="s">
        <v>4</v>
      </c>
      <c r="B26" s="538" t="s">
        <v>123</v>
      </c>
      <c r="C26" s="538"/>
    </row>
    <row r="27" spans="1:12" ht="26.25" customHeight="1" x14ac:dyDescent="0.5">
      <c r="A27" s="272" t="s">
        <v>46</v>
      </c>
      <c r="B27" s="528" t="s">
        <v>125</v>
      </c>
      <c r="C27" s="528"/>
    </row>
    <row r="28" spans="1:12" ht="27" customHeight="1" x14ac:dyDescent="0.45">
      <c r="A28" s="272" t="s">
        <v>6</v>
      </c>
      <c r="B28" s="273">
        <v>99.3</v>
      </c>
    </row>
    <row r="29" spans="1:12" s="440" customFormat="1" ht="27" customHeight="1" x14ac:dyDescent="0.5">
      <c r="A29" s="272" t="s">
        <v>47</v>
      </c>
      <c r="B29" s="274">
        <v>0</v>
      </c>
      <c r="C29" s="504" t="s">
        <v>48</v>
      </c>
      <c r="D29" s="505"/>
      <c r="E29" s="505"/>
      <c r="F29" s="505"/>
      <c r="G29" s="506"/>
      <c r="H29" s="14"/>
      <c r="I29" s="275"/>
      <c r="J29" s="275"/>
    </row>
    <row r="30" spans="1:12" s="440" customFormat="1" ht="19.5" customHeight="1" x14ac:dyDescent="0.35">
      <c r="A30" s="272" t="s">
        <v>49</v>
      </c>
      <c r="B30" s="276">
        <f>B28-B29</f>
        <v>99.3</v>
      </c>
      <c r="C30" s="277"/>
      <c r="D30" s="277"/>
      <c r="E30" s="277"/>
      <c r="F30" s="277"/>
      <c r="G30" s="278"/>
      <c r="H30" s="14"/>
      <c r="I30" s="275"/>
      <c r="J30" s="275"/>
    </row>
    <row r="31" spans="1:12" s="440" customFormat="1" ht="27" customHeight="1" x14ac:dyDescent="0.45">
      <c r="A31" s="272" t="s">
        <v>50</v>
      </c>
      <c r="B31" s="279">
        <v>1</v>
      </c>
      <c r="C31" s="507" t="s">
        <v>51</v>
      </c>
      <c r="D31" s="508"/>
      <c r="E31" s="508"/>
      <c r="F31" s="508"/>
      <c r="G31" s="508"/>
      <c r="H31" s="509"/>
      <c r="I31" s="275"/>
      <c r="J31" s="275"/>
    </row>
    <row r="32" spans="1:12" s="440" customFormat="1" ht="27" customHeight="1" x14ac:dyDescent="0.45">
      <c r="A32" s="272" t="s">
        <v>52</v>
      </c>
      <c r="B32" s="279">
        <v>1</v>
      </c>
      <c r="C32" s="507" t="s">
        <v>53</v>
      </c>
      <c r="D32" s="508"/>
      <c r="E32" s="508"/>
      <c r="F32" s="508"/>
      <c r="G32" s="508"/>
      <c r="H32" s="509"/>
      <c r="I32" s="275"/>
      <c r="J32" s="280"/>
      <c r="K32" s="441"/>
      <c r="L32" s="442"/>
    </row>
    <row r="33" spans="1:12" s="440" customFormat="1" ht="17.25" customHeight="1" x14ac:dyDescent="0.35">
      <c r="A33" s="272"/>
      <c r="B33" s="281"/>
      <c r="C33" s="282"/>
      <c r="D33" s="282"/>
      <c r="E33" s="282"/>
      <c r="F33" s="282"/>
      <c r="G33" s="282"/>
      <c r="H33" s="282"/>
      <c r="I33" s="275"/>
      <c r="J33" s="280"/>
      <c r="K33" s="441"/>
      <c r="L33" s="442"/>
    </row>
    <row r="34" spans="1:12" s="440" customFormat="1" ht="18" x14ac:dyDescent="0.35">
      <c r="A34" s="272" t="s">
        <v>54</v>
      </c>
      <c r="B34" s="283">
        <f>B31/B32</f>
        <v>1</v>
      </c>
      <c r="C34" s="262" t="s">
        <v>55</v>
      </c>
      <c r="D34" s="262"/>
      <c r="E34" s="262"/>
      <c r="F34" s="262"/>
      <c r="G34" s="262"/>
      <c r="H34" s="14"/>
      <c r="I34" s="275"/>
      <c r="J34" s="280"/>
      <c r="K34" s="441"/>
      <c r="L34" s="442"/>
    </row>
    <row r="35" spans="1:12" s="440" customFormat="1" ht="19.5" customHeight="1" x14ac:dyDescent="0.35">
      <c r="A35" s="272"/>
      <c r="B35" s="276"/>
      <c r="C35" s="14"/>
      <c r="D35" s="14"/>
      <c r="E35" s="14"/>
      <c r="F35" s="14"/>
      <c r="G35" s="262"/>
      <c r="H35" s="14"/>
      <c r="I35" s="275"/>
      <c r="J35" s="280"/>
      <c r="K35" s="441"/>
      <c r="L35" s="442"/>
    </row>
    <row r="36" spans="1:12" s="440" customFormat="1" ht="27" customHeight="1" x14ac:dyDescent="0.45">
      <c r="A36" s="284" t="s">
        <v>56</v>
      </c>
      <c r="B36" s="285">
        <v>25</v>
      </c>
      <c r="C36" s="262"/>
      <c r="D36" s="510" t="s">
        <v>57</v>
      </c>
      <c r="E36" s="535"/>
      <c r="F36" s="510" t="s">
        <v>58</v>
      </c>
      <c r="G36" s="511"/>
      <c r="H36" s="14"/>
      <c r="I36" s="14"/>
      <c r="J36" s="280"/>
      <c r="K36" s="441"/>
      <c r="L36" s="442"/>
    </row>
    <row r="37" spans="1:12" s="440" customFormat="1" ht="27" customHeight="1" x14ac:dyDescent="0.45">
      <c r="A37" s="286" t="s">
        <v>59</v>
      </c>
      <c r="B37" s="287">
        <v>2</v>
      </c>
      <c r="C37" s="288" t="s">
        <v>60</v>
      </c>
      <c r="D37" s="289" t="s">
        <v>61</v>
      </c>
      <c r="E37" s="290" t="s">
        <v>62</v>
      </c>
      <c r="F37" s="289" t="s">
        <v>61</v>
      </c>
      <c r="G37" s="291" t="s">
        <v>62</v>
      </c>
      <c r="H37" s="14"/>
      <c r="I37" s="292" t="s">
        <v>63</v>
      </c>
      <c r="J37" s="280"/>
      <c r="K37" s="441"/>
      <c r="L37" s="442"/>
    </row>
    <row r="38" spans="1:12" s="440" customFormat="1" ht="26.25" customHeight="1" x14ac:dyDescent="0.45">
      <c r="A38" s="286" t="s">
        <v>64</v>
      </c>
      <c r="B38" s="287">
        <v>50</v>
      </c>
      <c r="C38" s="293">
        <v>1</v>
      </c>
      <c r="D38" s="294">
        <v>12799325</v>
      </c>
      <c r="E38" s="295">
        <f>IF(ISBLANK(D38),"-",$D$48/$D$45*D38)</f>
        <v>9709643.5879783724</v>
      </c>
      <c r="F38" s="294">
        <v>9357359</v>
      </c>
      <c r="G38" s="296">
        <f>IF(ISBLANK(F38),"-",$D$48/$F$45*F38)</f>
        <v>9446939.6048025396</v>
      </c>
      <c r="H38" s="14"/>
      <c r="I38" s="297"/>
      <c r="J38" s="280"/>
      <c r="K38" s="441"/>
      <c r="L38" s="442"/>
    </row>
    <row r="39" spans="1:12" s="440" customFormat="1" ht="26.25" customHeight="1" x14ac:dyDescent="0.45">
      <c r="A39" s="286" t="s">
        <v>65</v>
      </c>
      <c r="B39" s="287">
        <v>1</v>
      </c>
      <c r="C39" s="298">
        <v>2</v>
      </c>
      <c r="D39" s="299">
        <v>12793296</v>
      </c>
      <c r="E39" s="300">
        <f>IF(ISBLANK(D39),"-",$D$48/$D$45*D39)</f>
        <v>9705069.9529474694</v>
      </c>
      <c r="F39" s="299">
        <v>9393286</v>
      </c>
      <c r="G39" s="301">
        <f>IF(ISBLANK(F39),"-",$D$48/$F$45*F39)</f>
        <v>9483210.5439833216</v>
      </c>
      <c r="H39" s="14"/>
      <c r="I39" s="512">
        <f>ABS((F43/D43*D42)-F42)/D42</f>
        <v>1.8331305287319185E-2</v>
      </c>
      <c r="J39" s="280"/>
      <c r="K39" s="441"/>
      <c r="L39" s="442"/>
    </row>
    <row r="40" spans="1:12" ht="26.25" customHeight="1" x14ac:dyDescent="0.45">
      <c r="A40" s="286" t="s">
        <v>66</v>
      </c>
      <c r="B40" s="287">
        <v>1</v>
      </c>
      <c r="C40" s="298">
        <v>3</v>
      </c>
      <c r="D40" s="299">
        <v>12769177</v>
      </c>
      <c r="E40" s="300">
        <f>IF(ISBLANK(D40),"-",$D$48/$D$45*D40)</f>
        <v>9686773.1370061245</v>
      </c>
      <c r="F40" s="299">
        <v>9371665</v>
      </c>
      <c r="G40" s="301">
        <f>IF(ISBLANK(F40),"-",$D$48/$F$45*F40)</f>
        <v>9461382.5601263978</v>
      </c>
      <c r="I40" s="512"/>
      <c r="J40" s="280"/>
      <c r="K40" s="441"/>
      <c r="L40" s="443"/>
    </row>
    <row r="41" spans="1:12" ht="27" customHeight="1" x14ac:dyDescent="0.45">
      <c r="A41" s="286" t="s">
        <v>67</v>
      </c>
      <c r="B41" s="287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J41" s="280"/>
      <c r="K41" s="441"/>
      <c r="L41" s="443"/>
    </row>
    <row r="42" spans="1:12" ht="27" customHeight="1" x14ac:dyDescent="0.45">
      <c r="A42" s="286" t="s">
        <v>68</v>
      </c>
      <c r="B42" s="287">
        <v>1</v>
      </c>
      <c r="C42" s="308" t="s">
        <v>69</v>
      </c>
      <c r="D42" s="309">
        <f>AVERAGE(D38:D41)</f>
        <v>12787266</v>
      </c>
      <c r="E42" s="310">
        <f>AVERAGE(E38:E41)</f>
        <v>9700495.5593106542</v>
      </c>
      <c r="F42" s="309">
        <f>AVERAGE(F38:F41)</f>
        <v>9374103.333333334</v>
      </c>
      <c r="G42" s="311">
        <f>AVERAGE(G38:G41)</f>
        <v>9463844.2363040857</v>
      </c>
      <c r="H42" s="312"/>
    </row>
    <row r="43" spans="1:12" ht="26.25" customHeight="1" x14ac:dyDescent="0.45">
      <c r="A43" s="286" t="s">
        <v>70</v>
      </c>
      <c r="B43" s="287">
        <v>1</v>
      </c>
      <c r="C43" s="313" t="s">
        <v>71</v>
      </c>
      <c r="D43" s="314">
        <v>26.55</v>
      </c>
      <c r="E43" s="302"/>
      <c r="F43" s="314">
        <v>19.95</v>
      </c>
      <c r="H43" s="312"/>
    </row>
    <row r="44" spans="1:12" ht="26.25" customHeight="1" x14ac:dyDescent="0.45">
      <c r="A44" s="286" t="s">
        <v>72</v>
      </c>
      <c r="B44" s="287">
        <v>1</v>
      </c>
      <c r="C44" s="315" t="s">
        <v>73</v>
      </c>
      <c r="D44" s="316">
        <f>D43*$B$34</f>
        <v>26.55</v>
      </c>
      <c r="E44" s="317"/>
      <c r="F44" s="316">
        <f>F43*$B$34</f>
        <v>19.95</v>
      </c>
      <c r="H44" s="312"/>
    </row>
    <row r="45" spans="1:12" ht="19.5" customHeight="1" x14ac:dyDescent="0.35">
      <c r="A45" s="286" t="s">
        <v>74</v>
      </c>
      <c r="B45" s="318">
        <f>(B44/B43)*(B42/B41)*(B40/B39)*(B38/B37)*B36</f>
        <v>625</v>
      </c>
      <c r="C45" s="315" t="s">
        <v>75</v>
      </c>
      <c r="D45" s="319">
        <f>D44*$B$30/100</f>
        <v>26.364149999999999</v>
      </c>
      <c r="E45" s="320"/>
      <c r="F45" s="319">
        <f>F44*$B$30/100</f>
        <v>19.81035</v>
      </c>
      <c r="H45" s="312"/>
    </row>
    <row r="46" spans="1:12" ht="19.5" customHeight="1" x14ac:dyDescent="0.35">
      <c r="A46" s="498" t="s">
        <v>76</v>
      </c>
      <c r="B46" s="499"/>
      <c r="C46" s="315" t="s">
        <v>77</v>
      </c>
      <c r="D46" s="321">
        <f>D45/$B$45</f>
        <v>4.218264E-2</v>
      </c>
      <c r="E46" s="322"/>
      <c r="F46" s="323">
        <f>F45/$B$45</f>
        <v>3.1696559999999999E-2</v>
      </c>
      <c r="H46" s="312"/>
    </row>
    <row r="47" spans="1:12" ht="27" customHeight="1" x14ac:dyDescent="0.45">
      <c r="A47" s="500"/>
      <c r="B47" s="501"/>
      <c r="C47" s="324" t="s">
        <v>78</v>
      </c>
      <c r="D47" s="325">
        <v>3.2000000000000001E-2</v>
      </c>
      <c r="E47" s="326"/>
      <c r="F47" s="322"/>
      <c r="H47" s="312"/>
    </row>
    <row r="48" spans="1:12" ht="18" x14ac:dyDescent="0.35">
      <c r="C48" s="327" t="s">
        <v>79</v>
      </c>
      <c r="D48" s="319">
        <f>D47*$B$45</f>
        <v>20</v>
      </c>
      <c r="F48" s="328"/>
      <c r="H48" s="312"/>
    </row>
    <row r="49" spans="1:11" ht="19.5" customHeight="1" x14ac:dyDescent="0.35">
      <c r="C49" s="329" t="s">
        <v>80</v>
      </c>
      <c r="D49" s="330">
        <f>D48/B34</f>
        <v>20</v>
      </c>
      <c r="F49" s="328"/>
      <c r="H49" s="312"/>
    </row>
    <row r="50" spans="1:11" ht="18" x14ac:dyDescent="0.35">
      <c r="C50" s="284" t="s">
        <v>81</v>
      </c>
      <c r="D50" s="331">
        <f>AVERAGE(E38:E41,G38:G41)</f>
        <v>9582169.897807369</v>
      </c>
      <c r="F50" s="332"/>
      <c r="H50" s="312"/>
    </row>
    <row r="51" spans="1:11" ht="18" x14ac:dyDescent="0.35">
      <c r="C51" s="286" t="s">
        <v>82</v>
      </c>
      <c r="D51" s="333">
        <f>STDEV(E38:E41,G38:G41)/D50</f>
        <v>1.3604187775529162E-2</v>
      </c>
      <c r="F51" s="332"/>
      <c r="H51" s="312"/>
    </row>
    <row r="52" spans="1:11" ht="19.5" customHeight="1" x14ac:dyDescent="0.35">
      <c r="C52" s="334" t="s">
        <v>19</v>
      </c>
      <c r="D52" s="335">
        <f>COUNT(E38:E41,G38:G41)</f>
        <v>6</v>
      </c>
      <c r="F52" s="332"/>
    </row>
    <row r="54" spans="1:11" ht="18" x14ac:dyDescent="0.35">
      <c r="A54" s="336" t="s">
        <v>1</v>
      </c>
      <c r="B54" s="337" t="s">
        <v>83</v>
      </c>
    </row>
    <row r="55" spans="1:11" ht="18" x14ac:dyDescent="0.35">
      <c r="A55" s="262" t="s">
        <v>84</v>
      </c>
      <c r="B55" s="338" t="str">
        <f>B21</f>
        <v>Sulphamethoxazole 800mg and Trimethoprim 160 mg per tablet</v>
      </c>
    </row>
    <row r="56" spans="1:11" ht="26.25" customHeight="1" x14ac:dyDescent="0.45">
      <c r="A56" s="339" t="s">
        <v>85</v>
      </c>
      <c r="B56" s="340">
        <v>160</v>
      </c>
      <c r="C56" s="262" t="str">
        <f>B20</f>
        <v>Each tablet contains Trimethoprim 160 mg.</v>
      </c>
      <c r="H56" s="341"/>
    </row>
    <row r="57" spans="1:11" ht="18" x14ac:dyDescent="0.35">
      <c r="A57" s="338" t="s">
        <v>86</v>
      </c>
      <c r="B57" s="426">
        <f>Uniformity!C46</f>
        <v>1050.2630000000001</v>
      </c>
      <c r="H57" s="341"/>
    </row>
    <row r="58" spans="1:11" ht="19.5" customHeight="1" x14ac:dyDescent="0.35">
      <c r="H58" s="341"/>
    </row>
    <row r="59" spans="1:11" s="440" customFormat="1" ht="27" customHeight="1" x14ac:dyDescent="0.45">
      <c r="A59" s="284" t="s">
        <v>87</v>
      </c>
      <c r="B59" s="285">
        <v>200</v>
      </c>
      <c r="C59" s="262"/>
      <c r="D59" s="342" t="s">
        <v>88</v>
      </c>
      <c r="E59" s="343" t="s">
        <v>60</v>
      </c>
      <c r="F59" s="343" t="s">
        <v>61</v>
      </c>
      <c r="G59" s="343" t="s">
        <v>89</v>
      </c>
      <c r="H59" s="288" t="s">
        <v>90</v>
      </c>
      <c r="I59" s="14"/>
      <c r="J59" s="275"/>
    </row>
    <row r="60" spans="1:11" s="440" customFormat="1" ht="26.25" customHeight="1" x14ac:dyDescent="0.45">
      <c r="A60" s="286" t="s">
        <v>91</v>
      </c>
      <c r="B60" s="287">
        <v>2</v>
      </c>
      <c r="C60" s="515" t="s">
        <v>92</v>
      </c>
      <c r="D60" s="518">
        <v>1047.6300000000001</v>
      </c>
      <c r="E60" s="344">
        <v>1</v>
      </c>
      <c r="F60" s="345">
        <v>9619363</v>
      </c>
      <c r="G60" s="427">
        <f>IF(ISBLANK(F60),"-",(F60/$D$50*$D$47*$B$68)*($B$57/$D$60))</f>
        <v>161.02472604882865</v>
      </c>
      <c r="H60" s="346">
        <f t="shared" ref="H60:H71" si="0">IF(ISBLANK(F60),"-",G60/$B$56)</f>
        <v>1.0064045378051791</v>
      </c>
      <c r="I60" s="14"/>
      <c r="J60" s="275"/>
      <c r="K60" s="485"/>
    </row>
    <row r="61" spans="1:11" s="440" customFormat="1" ht="26.25" customHeight="1" x14ac:dyDescent="0.45">
      <c r="A61" s="286" t="s">
        <v>93</v>
      </c>
      <c r="B61" s="287">
        <v>50</v>
      </c>
      <c r="C61" s="516"/>
      <c r="D61" s="519"/>
      <c r="E61" s="347">
        <v>2</v>
      </c>
      <c r="F61" s="299">
        <v>9646213</v>
      </c>
      <c r="G61" s="428">
        <f>IF(ISBLANK(F61),"-",(F61/$D$50*$D$47*$B$68)*($B$57/$D$60))</f>
        <v>161.47418552908852</v>
      </c>
      <c r="H61" s="348">
        <f t="shared" si="0"/>
        <v>1.0092136595568033</v>
      </c>
      <c r="I61" s="14"/>
      <c r="J61" s="275"/>
      <c r="K61" s="485"/>
    </row>
    <row r="62" spans="1:11" s="440" customFormat="1" ht="26.25" customHeight="1" x14ac:dyDescent="0.45">
      <c r="A62" s="286" t="s">
        <v>94</v>
      </c>
      <c r="B62" s="287">
        <v>1</v>
      </c>
      <c r="C62" s="516"/>
      <c r="D62" s="519"/>
      <c r="E62" s="347">
        <v>3</v>
      </c>
      <c r="F62" s="349">
        <v>9645749</v>
      </c>
      <c r="G62" s="428">
        <f>IF(ISBLANK(F62),"-",(F62/$D$50*$D$47*$B$68)*($B$57/$D$60))</f>
        <v>161.46641833360098</v>
      </c>
      <c r="H62" s="348">
        <f t="shared" si="0"/>
        <v>1.0091651145850062</v>
      </c>
      <c r="I62" s="14"/>
      <c r="J62" s="275"/>
      <c r="K62" s="485"/>
    </row>
    <row r="63" spans="1:11" ht="27" customHeight="1" x14ac:dyDescent="0.45">
      <c r="A63" s="286" t="s">
        <v>95</v>
      </c>
      <c r="B63" s="287">
        <v>1</v>
      </c>
      <c r="C63" s="527"/>
      <c r="D63" s="520"/>
      <c r="E63" s="350">
        <v>4</v>
      </c>
      <c r="F63" s="351"/>
      <c r="G63" s="428" t="str">
        <f>IF(ISBLANK(F63),"-",(F63/$D$50*$D$47*$B$68)*($B$57/$D$60))</f>
        <v>-</v>
      </c>
      <c r="H63" s="348" t="str">
        <f t="shared" si="0"/>
        <v>-</v>
      </c>
      <c r="K63" s="485"/>
    </row>
    <row r="64" spans="1:11" ht="26.25" customHeight="1" x14ac:dyDescent="0.45">
      <c r="A64" s="286" t="s">
        <v>96</v>
      </c>
      <c r="B64" s="287">
        <v>1</v>
      </c>
      <c r="C64" s="515" t="s">
        <v>97</v>
      </c>
      <c r="D64" s="518">
        <v>1042.68</v>
      </c>
      <c r="E64" s="344">
        <v>1</v>
      </c>
      <c r="F64" s="345">
        <v>9389584</v>
      </c>
      <c r="G64" s="429">
        <f>IF(ISBLANK(F64),"-",(F64/$D$50*$D$47*$B$68)*($B$57/$D$64))</f>
        <v>157.92449248354998</v>
      </c>
      <c r="H64" s="352">
        <f t="shared" si="0"/>
        <v>0.98702807802218739</v>
      </c>
      <c r="K64" s="485"/>
    </row>
    <row r="65" spans="1:11" ht="26.25" customHeight="1" x14ac:dyDescent="0.45">
      <c r="A65" s="286" t="s">
        <v>98</v>
      </c>
      <c r="B65" s="287">
        <v>1</v>
      </c>
      <c r="C65" s="516"/>
      <c r="D65" s="519"/>
      <c r="E65" s="347">
        <v>2</v>
      </c>
      <c r="F65" s="299">
        <v>9435141</v>
      </c>
      <c r="G65" s="430">
        <f>IF(ISBLANK(F65),"-",(F65/$D$50*$D$47*$B$68)*($B$57/$D$64))</f>
        <v>158.69072090262299</v>
      </c>
      <c r="H65" s="353">
        <f t="shared" si="0"/>
        <v>0.99181700564139363</v>
      </c>
      <c r="K65" s="485"/>
    </row>
    <row r="66" spans="1:11" ht="26.25" customHeight="1" x14ac:dyDescent="0.45">
      <c r="A66" s="286" t="s">
        <v>99</v>
      </c>
      <c r="B66" s="287">
        <v>1</v>
      </c>
      <c r="C66" s="516"/>
      <c r="D66" s="519"/>
      <c r="E66" s="347">
        <v>3</v>
      </c>
      <c r="F66" s="299">
        <v>9439790</v>
      </c>
      <c r="G66" s="430">
        <f>IF(ISBLANK(F66),"-",(F66/$D$50*$D$47*$B$68)*($B$57/$D$64))</f>
        <v>158.76891296795364</v>
      </c>
      <c r="H66" s="353">
        <f t="shared" si="0"/>
        <v>0.99230570604971025</v>
      </c>
      <c r="K66" s="485"/>
    </row>
    <row r="67" spans="1:11" ht="27" customHeight="1" x14ac:dyDescent="0.45">
      <c r="A67" s="286" t="s">
        <v>100</v>
      </c>
      <c r="B67" s="287">
        <v>1</v>
      </c>
      <c r="C67" s="527"/>
      <c r="D67" s="520"/>
      <c r="E67" s="350">
        <v>4</v>
      </c>
      <c r="F67" s="351"/>
      <c r="G67" s="431" t="str">
        <f>IF(ISBLANK(F67),"-",(F67/$D$50*$D$47*$B$68)*($B$57/$D$64))</f>
        <v>-</v>
      </c>
      <c r="H67" s="354" t="str">
        <f t="shared" si="0"/>
        <v>-</v>
      </c>
      <c r="K67" s="485"/>
    </row>
    <row r="68" spans="1:11" ht="26.25" customHeight="1" x14ac:dyDescent="0.5">
      <c r="A68" s="286" t="s">
        <v>101</v>
      </c>
      <c r="B68" s="355">
        <f>(B67/B66)*(B65/B64)*(B63/B62)*(B61/B60)*B59</f>
        <v>5000</v>
      </c>
      <c r="C68" s="515" t="s">
        <v>102</v>
      </c>
      <c r="D68" s="518">
        <v>1046.6400000000001</v>
      </c>
      <c r="E68" s="344">
        <v>1</v>
      </c>
      <c r="F68" s="345">
        <v>9486120</v>
      </c>
      <c r="G68" s="429">
        <f>IF(ISBLANK(F68),"-",(F68/$D$50*$D$47*$B$68)*($B$57/$D$68))</f>
        <v>158.94448643989756</v>
      </c>
      <c r="H68" s="348">
        <f t="shared" si="0"/>
        <v>0.99340304024935977</v>
      </c>
      <c r="K68" s="485"/>
    </row>
    <row r="69" spans="1:11" ht="27" customHeight="1" x14ac:dyDescent="0.5">
      <c r="A69" s="334" t="s">
        <v>103</v>
      </c>
      <c r="B69" s="356">
        <f>(D47*B68)/B56*B57</f>
        <v>1050.2630000000001</v>
      </c>
      <c r="C69" s="516"/>
      <c r="D69" s="519"/>
      <c r="E69" s="347">
        <v>2</v>
      </c>
      <c r="F69" s="299">
        <v>9490241</v>
      </c>
      <c r="G69" s="430">
        <f>IF(ISBLANK(F69),"-",(F69/$D$50*$D$47*$B$68)*($B$57/$D$68))</f>
        <v>159.01353576972039</v>
      </c>
      <c r="H69" s="348">
        <f t="shared" si="0"/>
        <v>0.9938345985607524</v>
      </c>
      <c r="K69" s="485"/>
    </row>
    <row r="70" spans="1:11" ht="26.25" customHeight="1" x14ac:dyDescent="0.45">
      <c r="A70" s="521" t="s">
        <v>76</v>
      </c>
      <c r="B70" s="522"/>
      <c r="C70" s="516"/>
      <c r="D70" s="519"/>
      <c r="E70" s="347">
        <v>3</v>
      </c>
      <c r="F70" s="299">
        <v>9497461</v>
      </c>
      <c r="G70" s="430">
        <f>IF(ISBLANK(F70),"-",(F70/$D$50*$D$47*$B$68)*($B$57/$D$68))</f>
        <v>159.13451032961379</v>
      </c>
      <c r="H70" s="348">
        <f t="shared" si="0"/>
        <v>0.99459068956008623</v>
      </c>
      <c r="K70" s="485"/>
    </row>
    <row r="71" spans="1:11" ht="27" customHeight="1" x14ac:dyDescent="0.45">
      <c r="A71" s="523"/>
      <c r="B71" s="524"/>
      <c r="C71" s="517"/>
      <c r="D71" s="520"/>
      <c r="E71" s="350">
        <v>4</v>
      </c>
      <c r="F71" s="351"/>
      <c r="G71" s="431" t="str">
        <f>IF(ISBLANK(F71),"-",(F71/$D$50*$D$47*$B$68)*($B$57/$D$68))</f>
        <v>-</v>
      </c>
      <c r="H71" s="357" t="str">
        <f t="shared" si="0"/>
        <v>-</v>
      </c>
    </row>
    <row r="72" spans="1:11" ht="26.25" customHeight="1" x14ac:dyDescent="0.45">
      <c r="A72" s="358"/>
      <c r="B72" s="358"/>
      <c r="C72" s="358"/>
      <c r="D72" s="358"/>
      <c r="E72" s="358"/>
      <c r="F72" s="360" t="s">
        <v>69</v>
      </c>
      <c r="G72" s="436">
        <f>AVERAGE(G60:G71)</f>
        <v>159.60466542276401</v>
      </c>
      <c r="H72" s="361">
        <f>AVERAGE(H60:H71)</f>
        <v>0.99752915889227545</v>
      </c>
    </row>
    <row r="73" spans="1:11" ht="26.25" customHeight="1" x14ac:dyDescent="0.45">
      <c r="C73" s="358"/>
      <c r="D73" s="358"/>
      <c r="E73" s="358"/>
      <c r="F73" s="362" t="s">
        <v>82</v>
      </c>
      <c r="G73" s="432">
        <f>STDEV(G60:G71)/G72</f>
        <v>8.3887501716484146E-3</v>
      </c>
      <c r="H73" s="432">
        <f>STDEV(H60:H71)/H72</f>
        <v>8.388750171648451E-3</v>
      </c>
    </row>
    <row r="74" spans="1:11" ht="27" customHeight="1" x14ac:dyDescent="0.45">
      <c r="A74" s="358"/>
      <c r="B74" s="358"/>
      <c r="C74" s="359"/>
      <c r="D74" s="359"/>
      <c r="E74" s="363"/>
      <c r="F74" s="364" t="s">
        <v>19</v>
      </c>
      <c r="G74" s="365">
        <f>COUNT(G60:G71)</f>
        <v>9</v>
      </c>
      <c r="H74" s="365">
        <f>COUNT(H60:H71)</f>
        <v>9</v>
      </c>
    </row>
    <row r="76" spans="1:11" ht="26.25" customHeight="1" x14ac:dyDescent="0.45">
      <c r="A76" s="271" t="s">
        <v>104</v>
      </c>
      <c r="B76" s="366" t="s">
        <v>105</v>
      </c>
      <c r="C76" s="502" t="str">
        <f>B26</f>
        <v>Trimethoprim</v>
      </c>
      <c r="D76" s="502"/>
      <c r="E76" s="367" t="s">
        <v>106</v>
      </c>
      <c r="F76" s="367"/>
      <c r="G76" s="368">
        <f>H72</f>
        <v>0.99752915889227545</v>
      </c>
      <c r="H76" s="369"/>
    </row>
    <row r="77" spans="1:11" ht="18" x14ac:dyDescent="0.35">
      <c r="A77" s="270" t="s">
        <v>107</v>
      </c>
      <c r="B77" s="270" t="s">
        <v>108</v>
      </c>
    </row>
    <row r="78" spans="1:11" ht="18" x14ac:dyDescent="0.35">
      <c r="A78" s="270"/>
      <c r="B78" s="270"/>
    </row>
    <row r="79" spans="1:11" ht="26.25" customHeight="1" x14ac:dyDescent="0.45">
      <c r="A79" s="271" t="s">
        <v>4</v>
      </c>
      <c r="B79" s="525" t="str">
        <f>B26</f>
        <v>Trimethoprim</v>
      </c>
      <c r="C79" s="525"/>
    </row>
    <row r="80" spans="1:11" ht="26.25" customHeight="1" x14ac:dyDescent="0.45">
      <c r="A80" s="272" t="s">
        <v>46</v>
      </c>
      <c r="B80" s="525" t="str">
        <f>B27</f>
        <v>T14 9</v>
      </c>
      <c r="C80" s="525"/>
    </row>
    <row r="81" spans="1:10" ht="27" customHeight="1" x14ac:dyDescent="0.45">
      <c r="A81" s="272" t="s">
        <v>6</v>
      </c>
      <c r="B81" s="370">
        <f>B28</f>
        <v>99.3</v>
      </c>
    </row>
    <row r="82" spans="1:10" s="440" customFormat="1" ht="27" customHeight="1" x14ac:dyDescent="0.5">
      <c r="A82" s="272" t="s">
        <v>47</v>
      </c>
      <c r="B82" s="274">
        <v>0</v>
      </c>
      <c r="C82" s="504" t="s">
        <v>48</v>
      </c>
      <c r="D82" s="505"/>
      <c r="E82" s="505"/>
      <c r="F82" s="505"/>
      <c r="G82" s="506"/>
      <c r="H82" s="14"/>
      <c r="I82" s="275"/>
      <c r="J82" s="275"/>
    </row>
    <row r="83" spans="1:10" s="440" customFormat="1" ht="19.5" customHeight="1" x14ac:dyDescent="0.35">
      <c r="A83" s="272" t="s">
        <v>49</v>
      </c>
      <c r="B83" s="276">
        <f>B81-B82</f>
        <v>99.3</v>
      </c>
      <c r="C83" s="277"/>
      <c r="D83" s="277"/>
      <c r="E83" s="277"/>
      <c r="F83" s="277"/>
      <c r="G83" s="278"/>
      <c r="H83" s="14"/>
      <c r="I83" s="275"/>
      <c r="J83" s="275"/>
    </row>
    <row r="84" spans="1:10" s="440" customFormat="1" ht="27" customHeight="1" x14ac:dyDescent="0.45">
      <c r="A84" s="272" t="s">
        <v>50</v>
      </c>
      <c r="B84" s="279">
        <v>1</v>
      </c>
      <c r="C84" s="507" t="s">
        <v>109</v>
      </c>
      <c r="D84" s="508"/>
      <c r="E84" s="508"/>
      <c r="F84" s="508"/>
      <c r="G84" s="508"/>
      <c r="H84" s="509"/>
      <c r="I84" s="275"/>
      <c r="J84" s="275"/>
    </row>
    <row r="85" spans="1:10" s="440" customFormat="1" ht="27" customHeight="1" x14ac:dyDescent="0.45">
      <c r="A85" s="272" t="s">
        <v>52</v>
      </c>
      <c r="B85" s="279">
        <v>1</v>
      </c>
      <c r="C85" s="507" t="s">
        <v>110</v>
      </c>
      <c r="D85" s="508"/>
      <c r="E85" s="508"/>
      <c r="F85" s="508"/>
      <c r="G85" s="508"/>
      <c r="H85" s="509"/>
      <c r="I85" s="275"/>
      <c r="J85" s="275"/>
    </row>
    <row r="86" spans="1:10" s="440" customFormat="1" ht="18" x14ac:dyDescent="0.35">
      <c r="A86" s="272"/>
      <c r="B86" s="281"/>
      <c r="C86" s="282"/>
      <c r="D86" s="282"/>
      <c r="E86" s="282"/>
      <c r="F86" s="282"/>
      <c r="G86" s="282"/>
      <c r="H86" s="282"/>
      <c r="I86" s="275"/>
      <c r="J86" s="275"/>
    </row>
    <row r="87" spans="1:10" s="440" customFormat="1" ht="18" x14ac:dyDescent="0.35">
      <c r="A87" s="272" t="s">
        <v>54</v>
      </c>
      <c r="B87" s="283">
        <f>B84/B85</f>
        <v>1</v>
      </c>
      <c r="C87" s="262" t="s">
        <v>55</v>
      </c>
      <c r="D87" s="262"/>
      <c r="E87" s="262"/>
      <c r="F87" s="262"/>
      <c r="G87" s="262"/>
      <c r="H87" s="14"/>
      <c r="I87" s="275"/>
      <c r="J87" s="275"/>
    </row>
    <row r="88" spans="1:10" ht="19.5" customHeight="1" x14ac:dyDescent="0.35">
      <c r="A88" s="270"/>
      <c r="B88" s="270"/>
    </row>
    <row r="89" spans="1:10" ht="27" customHeight="1" x14ac:dyDescent="0.45">
      <c r="A89" s="284" t="s">
        <v>56</v>
      </c>
      <c r="B89" s="285">
        <v>25</v>
      </c>
      <c r="D89" s="371" t="s">
        <v>57</v>
      </c>
      <c r="E89" s="372"/>
      <c r="F89" s="510" t="s">
        <v>58</v>
      </c>
      <c r="G89" s="511"/>
    </row>
    <row r="90" spans="1:10" ht="27" customHeight="1" x14ac:dyDescent="0.45">
      <c r="A90" s="286" t="s">
        <v>59</v>
      </c>
      <c r="B90" s="287">
        <v>2</v>
      </c>
      <c r="C90" s="373" t="s">
        <v>60</v>
      </c>
      <c r="D90" s="289" t="s">
        <v>61</v>
      </c>
      <c r="E90" s="290" t="s">
        <v>62</v>
      </c>
      <c r="F90" s="289" t="s">
        <v>61</v>
      </c>
      <c r="G90" s="374" t="s">
        <v>62</v>
      </c>
      <c r="I90" s="292" t="s">
        <v>63</v>
      </c>
    </row>
    <row r="91" spans="1:10" ht="26.25" customHeight="1" x14ac:dyDescent="0.45">
      <c r="A91" s="286" t="s">
        <v>64</v>
      </c>
      <c r="B91" s="287">
        <v>50</v>
      </c>
      <c r="C91" s="375">
        <v>1</v>
      </c>
      <c r="D91" s="294">
        <v>12873112</v>
      </c>
      <c r="E91" s="295">
        <f>IF(ISBLANK(D91),"-",$D$101/$D$98*D91)</f>
        <v>10850687.602503989</v>
      </c>
      <c r="F91" s="294">
        <v>9449157</v>
      </c>
      <c r="G91" s="296">
        <f>IF(ISBLANK(F91),"-",$D$101/$F$98*F91)</f>
        <v>10599573.791814212</v>
      </c>
      <c r="I91" s="297"/>
    </row>
    <row r="92" spans="1:10" ht="26.25" customHeight="1" x14ac:dyDescent="0.45">
      <c r="A92" s="286" t="s">
        <v>65</v>
      </c>
      <c r="B92" s="287">
        <v>1</v>
      </c>
      <c r="C92" s="359">
        <v>2</v>
      </c>
      <c r="D92" s="299">
        <v>12875336</v>
      </c>
      <c r="E92" s="300">
        <f>IF(ISBLANK(D92),"-",$D$101/$D$98*D92)</f>
        <v>10852562.201996945</v>
      </c>
      <c r="F92" s="299">
        <v>9457705</v>
      </c>
      <c r="G92" s="301">
        <f>IF(ISBLANK(F92),"-",$D$101/$F$98*F92)</f>
        <v>10609162.494464874</v>
      </c>
      <c r="I92" s="512">
        <f>ABS((F96/D96*D95)-F95)/D95</f>
        <v>1.6922454903584586E-2</v>
      </c>
    </row>
    <row r="93" spans="1:10" ht="26.25" customHeight="1" x14ac:dyDescent="0.45">
      <c r="A93" s="286" t="s">
        <v>66</v>
      </c>
      <c r="B93" s="287">
        <v>1</v>
      </c>
      <c r="C93" s="359">
        <v>3</v>
      </c>
      <c r="D93" s="299">
        <v>12881050</v>
      </c>
      <c r="E93" s="300">
        <f>IF(ISBLANK(D93),"-",$D$101/$D$98*D93)</f>
        <v>10857378.506629478</v>
      </c>
      <c r="F93" s="299">
        <v>9466117</v>
      </c>
      <c r="G93" s="301">
        <f>IF(ISBLANK(F93),"-",$D$101/$F$98*F93)</f>
        <v>10618598.639375659</v>
      </c>
      <c r="I93" s="512"/>
    </row>
    <row r="94" spans="1:10" ht="27" customHeight="1" x14ac:dyDescent="0.45">
      <c r="A94" s="286" t="s">
        <v>67</v>
      </c>
      <c r="B94" s="287">
        <v>1</v>
      </c>
      <c r="C94" s="376">
        <v>4</v>
      </c>
      <c r="D94" s="304"/>
      <c r="E94" s="305" t="str">
        <f>IF(ISBLANK(D94),"-",$D$101/$D$98*D94)</f>
        <v>-</v>
      </c>
      <c r="F94" s="377"/>
      <c r="G94" s="306" t="str">
        <f>IF(ISBLANK(F94),"-",$D$101/$F$98*F94)</f>
        <v>-</v>
      </c>
      <c r="I94" s="307"/>
    </row>
    <row r="95" spans="1:10" ht="27" customHeight="1" x14ac:dyDescent="0.45">
      <c r="A95" s="286" t="s">
        <v>68</v>
      </c>
      <c r="B95" s="287">
        <v>1</v>
      </c>
      <c r="C95" s="378" t="s">
        <v>69</v>
      </c>
      <c r="D95" s="379">
        <f>AVERAGE(D91:D94)</f>
        <v>12876499.333333334</v>
      </c>
      <c r="E95" s="310">
        <f>AVERAGE(E91:E94)</f>
        <v>10853542.770376803</v>
      </c>
      <c r="F95" s="380">
        <f>AVERAGE(F91:F94)</f>
        <v>9457659.666666666</v>
      </c>
      <c r="G95" s="381">
        <f>AVERAGE(G91:G94)</f>
        <v>10609111.641884916</v>
      </c>
    </row>
    <row r="96" spans="1:10" ht="26.25" customHeight="1" x14ac:dyDescent="0.45">
      <c r="A96" s="286" t="s">
        <v>70</v>
      </c>
      <c r="B96" s="273">
        <v>1</v>
      </c>
      <c r="C96" s="382" t="s">
        <v>111</v>
      </c>
      <c r="D96" s="383">
        <v>26.55</v>
      </c>
      <c r="E96" s="302"/>
      <c r="F96" s="314">
        <v>19.95</v>
      </c>
    </row>
    <row r="97" spans="1:8" ht="26.25" customHeight="1" x14ac:dyDescent="0.45">
      <c r="A97" s="286" t="s">
        <v>72</v>
      </c>
      <c r="B97" s="273">
        <v>1</v>
      </c>
      <c r="C97" s="384" t="s">
        <v>112</v>
      </c>
      <c r="D97" s="385">
        <f>D96*$B$87</f>
        <v>26.55</v>
      </c>
      <c r="E97" s="317"/>
      <c r="F97" s="316">
        <f>F96*$B$87</f>
        <v>19.95</v>
      </c>
    </row>
    <row r="98" spans="1:8" ht="19.5" customHeight="1" x14ac:dyDescent="0.35">
      <c r="A98" s="286" t="s">
        <v>74</v>
      </c>
      <c r="B98" s="386">
        <f>(B97/B96)*(B95/B94)*(B93/B92)*(B91/B90)*B89</f>
        <v>625</v>
      </c>
      <c r="C98" s="384" t="s">
        <v>113</v>
      </c>
      <c r="D98" s="387">
        <f>D97*$B$83/100</f>
        <v>26.364149999999999</v>
      </c>
      <c r="E98" s="320"/>
      <c r="F98" s="319">
        <f>F97*$B$83/100</f>
        <v>19.81035</v>
      </c>
    </row>
    <row r="99" spans="1:8" ht="19.5" customHeight="1" x14ac:dyDescent="0.35">
      <c r="A99" s="498" t="s">
        <v>76</v>
      </c>
      <c r="B99" s="513"/>
      <c r="C99" s="384" t="s">
        <v>114</v>
      </c>
      <c r="D99" s="388">
        <f>D98/$B$98</f>
        <v>4.218264E-2</v>
      </c>
      <c r="E99" s="320"/>
      <c r="F99" s="323">
        <f>F98/$B$98</f>
        <v>3.1696559999999999E-2</v>
      </c>
      <c r="G99" s="389"/>
      <c r="H99" s="312"/>
    </row>
    <row r="100" spans="1:8" ht="19.5" customHeight="1" x14ac:dyDescent="0.35">
      <c r="A100" s="500"/>
      <c r="B100" s="514"/>
      <c r="C100" s="384" t="s">
        <v>78</v>
      </c>
      <c r="D100" s="390">
        <f>$B$56/$B$116</f>
        <v>3.5555555555555556E-2</v>
      </c>
      <c r="F100" s="328"/>
      <c r="G100" s="391"/>
      <c r="H100" s="312"/>
    </row>
    <row r="101" spans="1:8" ht="18" x14ac:dyDescent="0.35">
      <c r="C101" s="384" t="s">
        <v>79</v>
      </c>
      <c r="D101" s="385">
        <f>D100*$B$98</f>
        <v>22.222222222222221</v>
      </c>
      <c r="F101" s="328"/>
      <c r="G101" s="389"/>
      <c r="H101" s="312"/>
    </row>
    <row r="102" spans="1:8" ht="19.5" customHeight="1" x14ac:dyDescent="0.35">
      <c r="C102" s="392" t="s">
        <v>80</v>
      </c>
      <c r="D102" s="393">
        <f>D101/B34</f>
        <v>22.222222222222221</v>
      </c>
      <c r="F102" s="332"/>
      <c r="G102" s="389"/>
      <c r="H102" s="312"/>
    </row>
    <row r="103" spans="1:8" ht="18" x14ac:dyDescent="0.35">
      <c r="C103" s="394" t="s">
        <v>115</v>
      </c>
      <c r="D103" s="395">
        <f>AVERAGE(E91:E94,G91:G94)</f>
        <v>10731327.20613086</v>
      </c>
      <c r="F103" s="332"/>
      <c r="G103" s="396"/>
      <c r="H103" s="312"/>
    </row>
    <row r="104" spans="1:8" ht="18" x14ac:dyDescent="0.35">
      <c r="C104" s="362" t="s">
        <v>82</v>
      </c>
      <c r="D104" s="397">
        <f>STDEV(E91:E94,G91:G94)/D103</f>
        <v>1.2489911755993338E-2</v>
      </c>
      <c r="F104" s="332"/>
      <c r="G104" s="389"/>
      <c r="H104" s="312"/>
    </row>
    <row r="105" spans="1:8" ht="19.5" customHeight="1" x14ac:dyDescent="0.35">
      <c r="C105" s="364" t="s">
        <v>19</v>
      </c>
      <c r="D105" s="398">
        <f>COUNT(E91:E94,G91:G94)</f>
        <v>6</v>
      </c>
      <c r="F105" s="332"/>
      <c r="G105" s="389"/>
      <c r="H105" s="312"/>
    </row>
    <row r="106" spans="1:8" ht="19.5" customHeight="1" x14ac:dyDescent="0.35">
      <c r="A106" s="336"/>
      <c r="B106" s="336"/>
      <c r="C106" s="336"/>
      <c r="D106" s="336"/>
      <c r="E106" s="336"/>
    </row>
    <row r="107" spans="1:8" ht="26.25" customHeight="1" x14ac:dyDescent="0.45">
      <c r="A107" s="284" t="s">
        <v>116</v>
      </c>
      <c r="B107" s="285">
        <v>900</v>
      </c>
      <c r="C107" s="399" t="s">
        <v>133</v>
      </c>
      <c r="D107" s="400" t="s">
        <v>61</v>
      </c>
      <c r="E107" s="401" t="s">
        <v>117</v>
      </c>
      <c r="F107" s="402" t="s">
        <v>118</v>
      </c>
    </row>
    <row r="108" spans="1:8" ht="26.25" customHeight="1" x14ac:dyDescent="0.45">
      <c r="A108" s="286" t="s">
        <v>119</v>
      </c>
      <c r="B108" s="287">
        <v>2</v>
      </c>
      <c r="C108" s="403">
        <v>1</v>
      </c>
      <c r="D108" s="404">
        <v>10174789</v>
      </c>
      <c r="E108" s="433">
        <f>IF(ISBLANK(D108),"-",D108/$D$103*$D$100*$B$116)</f>
        <v>151.70222738804711</v>
      </c>
      <c r="F108" s="405">
        <f t="shared" ref="F108:F113" si="1">IF(ISBLANK(D108), "-", E108/$B$56)</f>
        <v>0.94813892117529441</v>
      </c>
    </row>
    <row r="109" spans="1:8" ht="26.25" customHeight="1" x14ac:dyDescent="0.45">
      <c r="A109" s="286" t="s">
        <v>93</v>
      </c>
      <c r="B109" s="287">
        <v>10</v>
      </c>
      <c r="C109" s="403">
        <v>2</v>
      </c>
      <c r="D109" s="404">
        <v>10064861</v>
      </c>
      <c r="E109" s="434">
        <f t="shared" ref="E108:E113" si="2">IF(ISBLANK(D109),"-",D109/$D$103*$D$100*$B$116)</f>
        <v>150.06324279069446</v>
      </c>
      <c r="F109" s="406">
        <f t="shared" si="1"/>
        <v>0.93789526744184037</v>
      </c>
    </row>
    <row r="110" spans="1:8" ht="26.25" customHeight="1" x14ac:dyDescent="0.45">
      <c r="A110" s="286" t="s">
        <v>94</v>
      </c>
      <c r="B110" s="287">
        <v>1</v>
      </c>
      <c r="C110" s="403">
        <v>3</v>
      </c>
      <c r="D110" s="404">
        <v>9933925</v>
      </c>
      <c r="E110" s="434">
        <f t="shared" si="2"/>
        <v>148.11103691740496</v>
      </c>
      <c r="F110" s="406">
        <f t="shared" si="1"/>
        <v>0.92569398073378095</v>
      </c>
    </row>
    <row r="111" spans="1:8" ht="26.25" customHeight="1" x14ac:dyDescent="0.45">
      <c r="A111" s="286" t="s">
        <v>95</v>
      </c>
      <c r="B111" s="287">
        <v>1</v>
      </c>
      <c r="C111" s="403">
        <v>4</v>
      </c>
      <c r="D111" s="404">
        <v>9790704</v>
      </c>
      <c r="E111" s="434">
        <f t="shared" si="2"/>
        <v>145.97566637470931</v>
      </c>
      <c r="F111" s="406">
        <f t="shared" si="1"/>
        <v>0.91234791484193312</v>
      </c>
    </row>
    <row r="112" spans="1:8" ht="26.25" customHeight="1" x14ac:dyDescent="0.45">
      <c r="A112" s="286" t="s">
        <v>96</v>
      </c>
      <c r="B112" s="287">
        <v>1</v>
      </c>
      <c r="C112" s="403">
        <v>5</v>
      </c>
      <c r="D112" s="404">
        <v>9948620</v>
      </c>
      <c r="E112" s="434">
        <f t="shared" si="2"/>
        <v>148.33013376859935</v>
      </c>
      <c r="F112" s="406">
        <f t="shared" si="1"/>
        <v>0.92706333605374591</v>
      </c>
    </row>
    <row r="113" spans="1:9" ht="26.25" customHeight="1" x14ac:dyDescent="0.45">
      <c r="A113" s="286" t="s">
        <v>98</v>
      </c>
      <c r="B113" s="287">
        <v>1</v>
      </c>
      <c r="C113" s="407">
        <v>6</v>
      </c>
      <c r="D113" s="408">
        <v>9890057</v>
      </c>
      <c r="E113" s="435">
        <f t="shared" si="2"/>
        <v>147.45698175114458</v>
      </c>
      <c r="F113" s="409">
        <f t="shared" si="1"/>
        <v>0.92160613594465368</v>
      </c>
    </row>
    <row r="114" spans="1:9" ht="26.25" customHeight="1" x14ac:dyDescent="0.45">
      <c r="A114" s="286" t="s">
        <v>99</v>
      </c>
      <c r="B114" s="287">
        <v>1</v>
      </c>
      <c r="C114" s="403"/>
      <c r="D114" s="359"/>
      <c r="E114" s="261"/>
      <c r="F114" s="410"/>
    </row>
    <row r="115" spans="1:9" ht="26.25" customHeight="1" x14ac:dyDescent="0.45">
      <c r="A115" s="286" t="s">
        <v>100</v>
      </c>
      <c r="B115" s="287">
        <v>1</v>
      </c>
      <c r="C115" s="403"/>
      <c r="D115" s="544" t="s">
        <v>69</v>
      </c>
      <c r="E115" s="437">
        <f>AVERAGE(E108:E113)</f>
        <v>148.60654816509995</v>
      </c>
      <c r="F115" s="411">
        <f>AVERAGE(F108:F113)</f>
        <v>0.92879092603187485</v>
      </c>
    </row>
    <row r="116" spans="1:9" ht="27" customHeight="1" x14ac:dyDescent="0.45">
      <c r="A116" s="286" t="s">
        <v>101</v>
      </c>
      <c r="B116" s="318">
        <f>(B115/B114)*(B113/B112)*(B111/B110)*(B109/B108)*B107</f>
        <v>4500</v>
      </c>
      <c r="C116" s="412"/>
      <c r="D116" s="546" t="s">
        <v>82</v>
      </c>
      <c r="E116" s="432">
        <f>STDEV(E108:E113)/E115</f>
        <v>1.3548952439215181E-2</v>
      </c>
      <c r="F116" s="413">
        <f>STDEV(F108:F113)/F115</f>
        <v>1.3548952439215192E-2</v>
      </c>
      <c r="I116" s="261"/>
    </row>
    <row r="117" spans="1:9" ht="27" customHeight="1" x14ac:dyDescent="0.45">
      <c r="A117" s="498" t="s">
        <v>76</v>
      </c>
      <c r="B117" s="499"/>
      <c r="C117" s="414"/>
      <c r="D117" s="545" t="s">
        <v>19</v>
      </c>
      <c r="E117" s="415">
        <f>COUNT(E108:E113)</f>
        <v>6</v>
      </c>
      <c r="F117" s="547">
        <f>COUNT(F108:F113)</f>
        <v>6</v>
      </c>
      <c r="I117" s="261"/>
    </row>
    <row r="118" spans="1:9" ht="19.5" customHeight="1" x14ac:dyDescent="0.35">
      <c r="A118" s="500"/>
      <c r="B118" s="501"/>
      <c r="C118" s="261"/>
      <c r="D118" s="261"/>
      <c r="E118" s="261"/>
      <c r="F118" s="359"/>
      <c r="G118" s="261"/>
      <c r="H118" s="261"/>
      <c r="I118" s="261"/>
    </row>
    <row r="119" spans="1:9" ht="18" x14ac:dyDescent="0.35">
      <c r="A119" s="424"/>
      <c r="B119" s="282"/>
      <c r="C119" s="261"/>
      <c r="D119" s="261"/>
      <c r="E119" s="261"/>
      <c r="F119" s="359"/>
      <c r="G119" s="261"/>
      <c r="H119" s="261"/>
      <c r="I119" s="261"/>
    </row>
    <row r="120" spans="1:9" ht="26.25" customHeight="1" x14ac:dyDescent="0.45">
      <c r="A120" s="271" t="s">
        <v>104</v>
      </c>
      <c r="B120" s="366" t="s">
        <v>120</v>
      </c>
      <c r="C120" s="502" t="str">
        <f>B79</f>
        <v>Trimethoprim</v>
      </c>
      <c r="D120" s="502"/>
      <c r="E120" s="367" t="s">
        <v>121</v>
      </c>
      <c r="F120" s="367"/>
      <c r="G120" s="368">
        <f>F115</f>
        <v>0.92879092603187485</v>
      </c>
      <c r="H120" s="261"/>
      <c r="I120" s="261"/>
    </row>
    <row r="121" spans="1:9" ht="19.5" customHeight="1" x14ac:dyDescent="0.35">
      <c r="A121" s="416"/>
      <c r="B121" s="416"/>
      <c r="C121" s="417"/>
      <c r="D121" s="417"/>
      <c r="E121" s="417"/>
      <c r="F121" s="417"/>
      <c r="G121" s="417"/>
      <c r="H121" s="417"/>
    </row>
    <row r="122" spans="1:9" ht="18" x14ac:dyDescent="0.35">
      <c r="B122" s="503" t="s">
        <v>24</v>
      </c>
      <c r="C122" s="503"/>
      <c r="E122" s="373" t="s">
        <v>25</v>
      </c>
      <c r="F122" s="418"/>
      <c r="G122" s="503" t="s">
        <v>26</v>
      </c>
      <c r="H122" s="503"/>
    </row>
    <row r="123" spans="1:9" ht="69.900000000000006" customHeight="1" x14ac:dyDescent="0.35">
      <c r="A123" s="419" t="s">
        <v>27</v>
      </c>
      <c r="B123" s="420"/>
      <c r="C123" s="420"/>
      <c r="E123" s="420"/>
      <c r="F123" s="261"/>
      <c r="G123" s="421"/>
      <c r="H123" s="421"/>
    </row>
    <row r="124" spans="1:9" ht="69.900000000000006" customHeight="1" x14ac:dyDescent="0.35">
      <c r="A124" s="419" t="s">
        <v>28</v>
      </c>
      <c r="B124" s="422"/>
      <c r="C124" s="422" t="s">
        <v>128</v>
      </c>
      <c r="E124" s="548">
        <v>42373</v>
      </c>
      <c r="F124" s="261"/>
      <c r="G124" s="423"/>
      <c r="H124" s="423"/>
    </row>
    <row r="125" spans="1:9" ht="18" x14ac:dyDescent="0.35">
      <c r="A125" s="358"/>
      <c r="B125" s="358"/>
      <c r="C125" s="359"/>
      <c r="D125" s="359"/>
      <c r="E125" s="359"/>
      <c r="F125" s="363"/>
      <c r="G125" s="359"/>
      <c r="H125" s="359"/>
      <c r="I125" s="261"/>
    </row>
    <row r="126" spans="1:9" ht="18" x14ac:dyDescent="0.35">
      <c r="A126" s="358"/>
      <c r="B126" s="358"/>
      <c r="C126" s="359"/>
      <c r="D126" s="359"/>
      <c r="E126" s="359"/>
      <c r="F126" s="363"/>
      <c r="G126" s="359"/>
      <c r="H126" s="359"/>
      <c r="I126" s="261"/>
    </row>
    <row r="127" spans="1:9" ht="18" x14ac:dyDescent="0.35">
      <c r="A127" s="358"/>
      <c r="B127" s="358"/>
      <c r="C127" s="359"/>
      <c r="D127" s="359"/>
      <c r="E127" s="359"/>
      <c r="F127" s="363"/>
      <c r="G127" s="359"/>
      <c r="H127" s="359"/>
      <c r="I127" s="261"/>
    </row>
    <row r="128" spans="1:9" ht="18" x14ac:dyDescent="0.35">
      <c r="A128" s="358"/>
      <c r="B128" s="358"/>
      <c r="C128" s="359"/>
      <c r="D128" s="359"/>
      <c r="E128" s="359"/>
      <c r="F128" s="363"/>
      <c r="G128" s="359"/>
      <c r="H128" s="359"/>
      <c r="I128" s="261"/>
    </row>
    <row r="129" spans="1:9" ht="18" x14ac:dyDescent="0.35">
      <c r="A129" s="358"/>
      <c r="B129" s="358"/>
      <c r="C129" s="359"/>
      <c r="D129" s="359"/>
      <c r="E129" s="359"/>
      <c r="F129" s="363"/>
      <c r="G129" s="359"/>
      <c r="H129" s="359"/>
      <c r="I129" s="261"/>
    </row>
    <row r="130" spans="1:9" ht="18" x14ac:dyDescent="0.35">
      <c r="A130" s="358"/>
      <c r="B130" s="358"/>
      <c r="C130" s="359"/>
      <c r="D130" s="359"/>
      <c r="E130" s="359"/>
      <c r="F130" s="363"/>
      <c r="G130" s="359"/>
      <c r="H130" s="359"/>
      <c r="I130" s="261"/>
    </row>
    <row r="131" spans="1:9" ht="18" x14ac:dyDescent="0.35">
      <c r="A131" s="358"/>
      <c r="B131" s="358"/>
      <c r="C131" s="359"/>
      <c r="D131" s="359"/>
      <c r="E131" s="359"/>
      <c r="F131" s="363"/>
      <c r="G131" s="359"/>
      <c r="H131" s="359"/>
      <c r="I131" s="261"/>
    </row>
    <row r="132" spans="1:9" ht="18" x14ac:dyDescent="0.35">
      <c r="A132" s="358"/>
      <c r="B132" s="358"/>
      <c r="C132" s="359"/>
      <c r="D132" s="359"/>
      <c r="E132" s="359"/>
      <c r="F132" s="363"/>
      <c r="G132" s="359"/>
      <c r="H132" s="359"/>
      <c r="I132" s="261"/>
    </row>
    <row r="133" spans="1:9" ht="18" x14ac:dyDescent="0.35">
      <c r="A133" s="358"/>
      <c r="B133" s="358"/>
      <c r="C133" s="359"/>
      <c r="D133" s="359"/>
      <c r="E133" s="359"/>
      <c r="F133" s="363"/>
      <c r="G133" s="359"/>
      <c r="H133" s="359"/>
      <c r="I133" s="261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2016-01-07T15:41:22Z</dcterms:modified>
</cp:coreProperties>
</file>