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 (ASSAY)" sheetId="5" r:id="rId1"/>
    <sheet name="SST (DISS)" sheetId="1" r:id="rId2"/>
    <sheet name="Uniformity" sheetId="2" r:id="rId3"/>
    <sheet name="amoxicillin Trihydrate" sheetId="3" r:id="rId4"/>
    <sheet name="Clavulanic acid" sheetId="4" r:id="rId5"/>
  </sheets>
  <definedNames>
    <definedName name="_xlnm.Print_Area" localSheetId="2">Uniformity!$A$1:$O$54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F115" i="3" l="1"/>
  <c r="D51" i="3" l="1"/>
  <c r="B69" i="4" l="1"/>
  <c r="B69" i="3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5" i="4" l="1"/>
  <c r="D46" i="4" s="1"/>
  <c r="D101" i="4"/>
  <c r="D102" i="4" s="1"/>
  <c r="I92" i="4"/>
  <c r="D101" i="3"/>
  <c r="I92" i="3"/>
  <c r="I39" i="4"/>
  <c r="I39" i="3"/>
  <c r="D45" i="3"/>
  <c r="F44" i="3"/>
  <c r="F45" i="3" s="1"/>
  <c r="D49" i="3"/>
  <c r="G41" i="3"/>
  <c r="F98" i="3"/>
  <c r="G92" i="3" s="1"/>
  <c r="D102" i="3"/>
  <c r="D49" i="4"/>
  <c r="E40" i="4"/>
  <c r="G41" i="4"/>
  <c r="E38" i="4"/>
  <c r="E41" i="4"/>
  <c r="G40" i="4"/>
  <c r="E39" i="4"/>
  <c r="F98" i="4"/>
  <c r="F99" i="4" s="1"/>
  <c r="F44" i="4"/>
  <c r="F45" i="4" s="1"/>
  <c r="F46" i="4" s="1"/>
  <c r="B57" i="4"/>
  <c r="D97" i="4"/>
  <c r="D98" i="4" s="1"/>
  <c r="D99" i="4" s="1"/>
  <c r="D25" i="2"/>
  <c r="D29" i="2"/>
  <c r="D33" i="2"/>
  <c r="D37" i="2"/>
  <c r="D41" i="2"/>
  <c r="C50" i="2"/>
  <c r="D97" i="3"/>
  <c r="D98" i="3" s="1"/>
  <c r="D26" i="2"/>
  <c r="D30" i="2"/>
  <c r="D34" i="2"/>
  <c r="D38" i="2"/>
  <c r="D42" i="2"/>
  <c r="B49" i="2"/>
  <c r="E42" i="4" l="1"/>
  <c r="G91" i="3"/>
  <c r="E91" i="4"/>
  <c r="E93" i="3"/>
  <c r="E92" i="4"/>
  <c r="G40" i="3"/>
  <c r="F46" i="3"/>
  <c r="G39" i="3"/>
  <c r="G38" i="3"/>
  <c r="D46" i="3"/>
  <c r="E39" i="3"/>
  <c r="E41" i="3"/>
  <c r="G94" i="4"/>
  <c r="G93" i="4"/>
  <c r="D99" i="3"/>
  <c r="E91" i="3"/>
  <c r="E92" i="3"/>
  <c r="F99" i="3"/>
  <c r="G94" i="3"/>
  <c r="E40" i="3"/>
  <c r="G92" i="4"/>
  <c r="G91" i="4"/>
  <c r="G39" i="4"/>
  <c r="G38" i="4"/>
  <c r="E94" i="3"/>
  <c r="G93" i="3"/>
  <c r="E38" i="3"/>
  <c r="E42" i="3" s="1"/>
  <c r="E94" i="4"/>
  <c r="E93" i="4"/>
  <c r="G95" i="4" l="1"/>
  <c r="G95" i="3"/>
  <c r="G42" i="4"/>
  <c r="G42" i="3"/>
  <c r="E95" i="4"/>
  <c r="D50" i="4"/>
  <c r="G69" i="4" s="1"/>
  <c r="H69" i="4" s="1"/>
  <c r="D105" i="4"/>
  <c r="D103" i="4"/>
  <c r="E113" i="4" s="1"/>
  <c r="F113" i="4" s="1"/>
  <c r="D52" i="4"/>
  <c r="G68" i="4"/>
  <c r="H68" i="4" s="1"/>
  <c r="G63" i="4"/>
  <c r="H63" i="4" s="1"/>
  <c r="E95" i="3"/>
  <c r="D105" i="3"/>
  <c r="D103" i="3"/>
  <c r="D52" i="3"/>
  <c r="D50" i="3"/>
  <c r="E108" i="4" l="1"/>
  <c r="F108" i="4" s="1"/>
  <c r="E110" i="4"/>
  <c r="F110" i="4" s="1"/>
  <c r="D104" i="4"/>
  <c r="E109" i="4"/>
  <c r="F109" i="4" s="1"/>
  <c r="G70" i="4"/>
  <c r="H70" i="4" s="1"/>
  <c r="D51" i="4"/>
  <c r="G66" i="4"/>
  <c r="H66" i="4" s="1"/>
  <c r="G61" i="4"/>
  <c r="H61" i="4" s="1"/>
  <c r="G62" i="4"/>
  <c r="H62" i="4" s="1"/>
  <c r="G67" i="4"/>
  <c r="H67" i="4" s="1"/>
  <c r="G64" i="4"/>
  <c r="H64" i="4" s="1"/>
  <c r="G71" i="4"/>
  <c r="H71" i="4" s="1"/>
  <c r="G65" i="4"/>
  <c r="H65" i="4" s="1"/>
  <c r="G60" i="4"/>
  <c r="H60" i="4" s="1"/>
  <c r="E111" i="4"/>
  <c r="F111" i="4" s="1"/>
  <c r="E112" i="4"/>
  <c r="F112" i="4" s="1"/>
  <c r="G68" i="3"/>
  <c r="H68" i="3" s="1"/>
  <c r="G71" i="3"/>
  <c r="H71" i="3" s="1"/>
  <c r="G64" i="3"/>
  <c r="H64" i="3" s="1"/>
  <c r="G60" i="3"/>
  <c r="G69" i="3"/>
  <c r="H69" i="3" s="1"/>
  <c r="G66" i="3"/>
  <c r="H66" i="3" s="1"/>
  <c r="G62" i="3"/>
  <c r="H62" i="3" s="1"/>
  <c r="G65" i="3"/>
  <c r="H65" i="3" s="1"/>
  <c r="G61" i="3"/>
  <c r="H61" i="3" s="1"/>
  <c r="G70" i="3"/>
  <c r="H70" i="3" s="1"/>
  <c r="G67" i="3"/>
  <c r="H67" i="3" s="1"/>
  <c r="G63" i="3"/>
  <c r="H63" i="3" s="1"/>
  <c r="E112" i="3"/>
  <c r="F112" i="3" s="1"/>
  <c r="E110" i="3"/>
  <c r="F110" i="3" s="1"/>
  <c r="E108" i="3"/>
  <c r="E111" i="3"/>
  <c r="F111" i="3" s="1"/>
  <c r="E113" i="3"/>
  <c r="F113" i="3" s="1"/>
  <c r="E109" i="3"/>
  <c r="F109" i="3" s="1"/>
  <c r="D104" i="3"/>
  <c r="E117" i="4" l="1"/>
  <c r="E115" i="4"/>
  <c r="E116" i="4" s="1"/>
  <c r="G72" i="4"/>
  <c r="G73" i="4" s="1"/>
  <c r="G74" i="4"/>
  <c r="G72" i="3"/>
  <c r="F117" i="4"/>
  <c r="F115" i="4"/>
  <c r="H74" i="4"/>
  <c r="H72" i="4"/>
  <c r="G76" i="4" s="1"/>
  <c r="E115" i="3"/>
  <c r="E116" i="3" s="1"/>
  <c r="E117" i="3"/>
  <c r="F108" i="3"/>
  <c r="H60" i="3"/>
  <c r="G74" i="3"/>
  <c r="G73" i="3"/>
  <c r="H73" i="4" l="1"/>
  <c r="F117" i="3"/>
  <c r="G120" i="4"/>
  <c r="F116" i="4"/>
  <c r="H74" i="3"/>
  <c r="H72" i="3"/>
  <c r="G76" i="3" s="1"/>
  <c r="H73" i="3" l="1"/>
  <c r="G120" i="3"/>
  <c r="F116" i="3"/>
</calcChain>
</file>

<file path=xl/sharedStrings.xml><?xml version="1.0" encoding="utf-8"?>
<sst xmlns="http://schemas.openxmlformats.org/spreadsheetml/2006/main" count="440" uniqueCount="131">
  <si>
    <t>HPLC System Suitability Report</t>
  </si>
  <si>
    <t>Analysis Data</t>
  </si>
  <si>
    <t>Sample(s)</t>
  </si>
  <si>
    <t>Reference Substance:</t>
  </si>
  <si>
    <t>Gamok 625mg Tablets</t>
  </si>
  <si>
    <t>% age Purity:</t>
  </si>
  <si>
    <t>NDQD201512631</t>
  </si>
  <si>
    <t>Weight (mg):</t>
  </si>
  <si>
    <t>Amoxicillin &amp; Clavulanate Potassium</t>
  </si>
  <si>
    <t>Standard Conc (mg/mL):</t>
  </si>
  <si>
    <t>Each fil coated tablet contains: Amoxicillin Trihydrate equivalent to Amoxicillin 500mg
Clavulanate Potassium equivalent to Clavulanic Acid 125MG</t>
  </si>
  <si>
    <t>2015-12-10 12:27:55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</si>
  <si>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</si>
  <si>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</si>
  <si>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</si>
  <si>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</si>
  <si>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</si>
  <si>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</si>
  <si>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</si>
  <si>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</si>
  <si>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</si>
  <si>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</si>
  <si>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</si>
  <si>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</si>
  <si>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</si>
  <si>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</si>
  <si>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</si>
  <si>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</si>
  <si>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</si>
  <si>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</si>
  <si>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</si>
  <si>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</si>
  <si>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</si>
  <si>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</si>
  <si>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</si>
  <si>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</si>
  <si>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</si>
  <si>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</si>
  <si>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</si>
  <si>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</si>
  <si>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</si>
  <si>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</si>
  <si>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</si>
  <si>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</si>
  <si>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</si>
  <si>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</si>
  <si>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</si>
  <si>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</si>
  <si>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</si>
  <si>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</si>
  <si>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</si>
  <si>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</si>
  <si>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</si>
  <si>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</si>
  <si>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</si>
  <si>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</si>
  <si>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</si>
  <si>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</si>
  <si>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</si>
  <si>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</si>
  <si>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</si>
  <si>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</si>
  <si>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</si>
  <si>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</si>
  <si>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</si>
  <si>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</si>
  <si>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</si>
  <si>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</si>
  <si>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</si>
  <si>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</si>
  <si>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</si>
  <si>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</si>
  <si>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</si>
  <si>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</si>
  <si>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</si>
  <si>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</si>
  <si>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</si>
  <si>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</si>
  <si>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</si>
  <si>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</si>
  <si>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</si>
  <si>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</si>
  <si>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</si>
  <si>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</si>
  <si>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</si>
  <si>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</si>
  <si>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</si>
  <si>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</si>
  <si>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</si>
  <si>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</si>
  <si>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</si>
  <si>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</si>
  <si>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</si>
  <si>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</si>
  <si>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</si>
  <si>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</si>
  <si>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</si>
  <si>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</si>
  <si>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</si>
  <si>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</si>
  <si>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</si>
  <si>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</si>
  <si>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</si>
  <si>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</si>
  <si>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</si>
  <si>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</si>
  <si>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</si>
  <si>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</si>
  <si>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</si>
  <si>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</si>
  <si>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</si>
  <si>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</si>
  <si>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</si>
  <si>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</si>
  <si>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</si>
  <si>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</si>
  <si>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</si>
  <si>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</si>
  <si>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</si>
  <si>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</si>
  <si>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</si>
  <si>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</si>
  <si>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</si>
  <si>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</si>
  <si>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</t>
  </si>
  <si>
    <t>Claculanic acid</t>
  </si>
  <si>
    <t>CLAVULANIC LITHIUM</t>
  </si>
  <si>
    <t>DISSOLUTION- CLAVULANIC LITHIUM</t>
  </si>
  <si>
    <t>ASSAY CLAVULANIC LITHIUM</t>
  </si>
  <si>
    <t>ASSAY</t>
  </si>
  <si>
    <t>9652..2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</si>
</sst>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0%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73" fontId="13" fillId="6" borderId="57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24" fillId="2" borderId="0" xfId="0" applyFont="1" applyFill="1"/>
    <xf numFmtId="0" fontId="25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26" fillId="3" borderId="5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D40" sqref="D40"/>
    </sheetView>
  </sheetViews>
  <sheetFormatPr defaultRowHeight="13.5" x14ac:dyDescent="0.25"/>
  <cols>
    <col min="1" max="1" width="27.5703125" style="410" customWidth="1"/>
    <col min="2" max="2" width="20.42578125" style="410" customWidth="1"/>
    <col min="3" max="3" width="31.85546875" style="410" customWidth="1"/>
    <col min="4" max="4" width="25.85546875" style="410" customWidth="1"/>
    <col min="5" max="5" width="25.7109375" style="410" customWidth="1"/>
    <col min="6" max="6" width="23.140625" style="410" customWidth="1"/>
    <col min="7" max="7" width="28.42578125" style="410" customWidth="1"/>
    <col min="8" max="8" width="21.5703125" style="410" customWidth="1"/>
    <col min="9" max="9" width="9.140625" style="410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90" t="s">
        <v>1</v>
      </c>
      <c r="B16" s="516" t="s">
        <v>128</v>
      </c>
    </row>
    <row r="17" spans="1:5" ht="16.5" customHeight="1" x14ac:dyDescent="0.3">
      <c r="A17" s="8" t="s">
        <v>2</v>
      </c>
      <c r="B17" s="8" t="s">
        <v>4</v>
      </c>
      <c r="D17" s="9"/>
      <c r="E17" s="72"/>
    </row>
    <row r="18" spans="1:5" ht="16.5" customHeight="1" x14ac:dyDescent="0.3">
      <c r="A18" s="75" t="s">
        <v>3</v>
      </c>
      <c r="B18" s="517" t="s">
        <v>126</v>
      </c>
      <c r="C18" s="72"/>
      <c r="D18" s="72"/>
      <c r="E18" s="72"/>
    </row>
    <row r="19" spans="1:5" ht="16.5" customHeight="1" x14ac:dyDescent="0.3">
      <c r="A19" s="75" t="s">
        <v>5</v>
      </c>
      <c r="B19" s="12">
        <v>86.6</v>
      </c>
      <c r="C19" s="72"/>
      <c r="D19" s="72"/>
      <c r="E19" s="72"/>
    </row>
    <row r="20" spans="1:5" ht="16.5" customHeight="1" x14ac:dyDescent="0.3">
      <c r="A20" s="8" t="s">
        <v>7</v>
      </c>
      <c r="B20" s="12">
        <v>23.96</v>
      </c>
      <c r="C20" s="72"/>
      <c r="D20" s="72"/>
      <c r="E20" s="72"/>
    </row>
    <row r="21" spans="1:5" ht="16.5" customHeight="1" x14ac:dyDescent="0.3">
      <c r="A21" s="8" t="s">
        <v>9</v>
      </c>
      <c r="B21" s="13">
        <v>0.5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18797798</v>
      </c>
      <c r="C24" s="18">
        <v>6752.95</v>
      </c>
      <c r="D24" s="19">
        <v>1.1000000000000001</v>
      </c>
      <c r="E24" s="20">
        <v>3.93</v>
      </c>
    </row>
    <row r="25" spans="1:5" ht="16.5" customHeight="1" x14ac:dyDescent="0.3">
      <c r="A25" s="17">
        <v>2</v>
      </c>
      <c r="B25" s="18">
        <v>18847483</v>
      </c>
      <c r="C25" s="18">
        <v>7492.35</v>
      </c>
      <c r="D25" s="19">
        <v>1.1200000000000001</v>
      </c>
      <c r="E25" s="19">
        <v>3.93</v>
      </c>
    </row>
    <row r="26" spans="1:5" ht="16.5" customHeight="1" x14ac:dyDescent="0.3">
      <c r="A26" s="17">
        <v>3</v>
      </c>
      <c r="B26" s="18">
        <v>18870478</v>
      </c>
      <c r="C26" s="18">
        <v>7165.69</v>
      </c>
      <c r="D26" s="19">
        <v>1.1100000000000001</v>
      </c>
      <c r="E26" s="19">
        <v>3.93</v>
      </c>
    </row>
    <row r="27" spans="1:5" ht="16.5" customHeight="1" x14ac:dyDescent="0.3">
      <c r="A27" s="17">
        <v>4</v>
      </c>
      <c r="B27" s="18">
        <v>18731309</v>
      </c>
      <c r="C27" s="18">
        <v>7168.71</v>
      </c>
      <c r="D27" s="19">
        <v>1.1000000000000001</v>
      </c>
      <c r="E27" s="19">
        <v>3.93</v>
      </c>
    </row>
    <row r="28" spans="1:5" ht="16.5" customHeight="1" x14ac:dyDescent="0.3">
      <c r="A28" s="17">
        <v>5</v>
      </c>
      <c r="B28" s="18">
        <v>18877543</v>
      </c>
      <c r="C28" s="18">
        <v>7384.84</v>
      </c>
      <c r="D28" s="19">
        <v>1.1299999999999999</v>
      </c>
      <c r="E28" s="19">
        <v>3.92</v>
      </c>
    </row>
    <row r="29" spans="1:5" ht="16.5" customHeight="1" x14ac:dyDescent="0.3">
      <c r="A29" s="17">
        <v>6</v>
      </c>
      <c r="B29" s="21">
        <v>18854279</v>
      </c>
      <c r="C29" s="21">
        <v>7408.73</v>
      </c>
      <c r="D29" s="22">
        <v>1.1100000000000001</v>
      </c>
      <c r="E29" s="22">
        <v>3.92</v>
      </c>
    </row>
    <row r="30" spans="1:5" ht="16.5" customHeight="1" x14ac:dyDescent="0.3">
      <c r="A30" s="23" t="s">
        <v>17</v>
      </c>
      <c r="B30" s="24">
        <f>AVERAGE(B24:B29)</f>
        <v>18829815</v>
      </c>
      <c r="C30" s="25">
        <f>AVERAGE(C24:C29)</f>
        <v>7228.8783333333313</v>
      </c>
      <c r="D30" s="26">
        <f>AVERAGE(D24:D29)</f>
        <v>1.1116666666666666</v>
      </c>
      <c r="E30" s="26">
        <f>AVERAGE(E24:E29)</f>
        <v>3.9266666666666672</v>
      </c>
    </row>
    <row r="31" spans="1:5" ht="16.5" customHeight="1" x14ac:dyDescent="0.3">
      <c r="A31" s="27" t="s">
        <v>18</v>
      </c>
      <c r="B31" s="28">
        <f>(STDEV(B24:B29)/B30)</f>
        <v>2.9636145743629897E-3</v>
      </c>
      <c r="C31" s="29"/>
      <c r="D31" s="29"/>
      <c r="E31" s="30"/>
    </row>
    <row r="32" spans="1:5" s="410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410" customFormat="1" ht="15.75" customHeight="1" x14ac:dyDescent="0.25">
      <c r="A33" s="72"/>
      <c r="B33" s="72"/>
      <c r="C33" s="72"/>
      <c r="D33" s="72"/>
      <c r="E33" s="72"/>
    </row>
    <row r="34" spans="1:5" s="410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3">
      <c r="A37" s="72"/>
      <c r="B37" s="515" t="s">
        <v>126</v>
      </c>
      <c r="C37" s="72"/>
      <c r="D37" s="72"/>
      <c r="E37" s="72"/>
    </row>
    <row r="38" spans="1:5" ht="16.5" customHeight="1" x14ac:dyDescent="0.3">
      <c r="A38" s="90" t="s">
        <v>1</v>
      </c>
      <c r="B38" s="516" t="s">
        <v>129</v>
      </c>
    </row>
    <row r="39" spans="1:5" ht="16.5" customHeight="1" x14ac:dyDescent="0.3">
      <c r="A39" s="75" t="s">
        <v>3</v>
      </c>
      <c r="B39" s="8" t="s">
        <v>124</v>
      </c>
      <c r="C39" s="72"/>
      <c r="D39" s="72"/>
      <c r="E39" s="72"/>
    </row>
    <row r="40" spans="1:5" ht="16.5" customHeight="1" x14ac:dyDescent="0.3">
      <c r="A40" s="75" t="s">
        <v>5</v>
      </c>
      <c r="B40" s="12">
        <v>96.4</v>
      </c>
      <c r="C40" s="72"/>
      <c r="D40" s="72"/>
      <c r="E40" s="72"/>
    </row>
    <row r="41" spans="1:5" ht="16.5" customHeight="1" x14ac:dyDescent="0.3">
      <c r="A41" s="8" t="s">
        <v>7</v>
      </c>
      <c r="B41" s="12">
        <v>23.1</v>
      </c>
      <c r="C41" s="72"/>
      <c r="D41" s="72"/>
      <c r="E41" s="72"/>
    </row>
    <row r="42" spans="1:5" ht="16.5" customHeight="1" x14ac:dyDescent="0.3">
      <c r="A42" s="8" t="s">
        <v>9</v>
      </c>
      <c r="B42" s="13">
        <v>0.125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54897024</v>
      </c>
      <c r="C45" s="18">
        <v>6315.21</v>
      </c>
      <c r="D45" s="19">
        <v>1.06</v>
      </c>
      <c r="E45" s="20">
        <v>5.74</v>
      </c>
    </row>
    <row r="46" spans="1:5" ht="16.5" customHeight="1" x14ac:dyDescent="0.3">
      <c r="A46" s="17">
        <v>2</v>
      </c>
      <c r="B46" s="18">
        <v>54649940</v>
      </c>
      <c r="C46" s="18">
        <v>5808.15</v>
      </c>
      <c r="D46" s="19">
        <v>1.04</v>
      </c>
      <c r="E46" s="19">
        <v>5.74</v>
      </c>
    </row>
    <row r="47" spans="1:5" ht="16.5" customHeight="1" x14ac:dyDescent="0.3">
      <c r="A47" s="17">
        <v>3</v>
      </c>
      <c r="B47" s="18">
        <v>54908859</v>
      </c>
      <c r="C47" s="18">
        <v>6114.82</v>
      </c>
      <c r="D47" s="19">
        <v>1.04</v>
      </c>
      <c r="E47" s="19">
        <v>5.74</v>
      </c>
    </row>
    <row r="48" spans="1:5" ht="16.5" customHeight="1" x14ac:dyDescent="0.3">
      <c r="A48" s="17">
        <v>4</v>
      </c>
      <c r="B48" s="18">
        <v>54491641</v>
      </c>
      <c r="C48" s="18">
        <v>6120.91</v>
      </c>
      <c r="D48" s="19">
        <v>1.05</v>
      </c>
      <c r="E48" s="19">
        <v>5.74</v>
      </c>
    </row>
    <row r="49" spans="1:7" ht="16.5" customHeight="1" x14ac:dyDescent="0.3">
      <c r="A49" s="17">
        <v>5</v>
      </c>
      <c r="B49" s="18">
        <v>54824952</v>
      </c>
      <c r="C49" s="18">
        <v>6242.11</v>
      </c>
      <c r="D49" s="19">
        <v>1.1299999999999999</v>
      </c>
      <c r="E49" s="19">
        <v>5.73</v>
      </c>
    </row>
    <row r="50" spans="1:7" ht="16.5" customHeight="1" x14ac:dyDescent="0.3">
      <c r="A50" s="17">
        <v>6</v>
      </c>
      <c r="B50" s="21">
        <v>54869338</v>
      </c>
      <c r="C50" s="21">
        <v>6258.24</v>
      </c>
      <c r="D50" s="22">
        <v>1.05</v>
      </c>
      <c r="E50" s="22">
        <v>5.73</v>
      </c>
    </row>
    <row r="51" spans="1:7" ht="16.5" customHeight="1" x14ac:dyDescent="0.3">
      <c r="A51" s="23" t="s">
        <v>17</v>
      </c>
      <c r="B51" s="24">
        <f>AVERAGE(B45:B50)</f>
        <v>54773625.666666664</v>
      </c>
      <c r="C51" s="25">
        <f>AVERAGE(C45:C50)</f>
        <v>6143.2400000000007</v>
      </c>
      <c r="D51" s="26">
        <f>AVERAGE(D45:D50)</f>
        <v>1.0616666666666668</v>
      </c>
      <c r="E51" s="26">
        <f>AVERAGE(E45:E50)</f>
        <v>5.7366666666666672</v>
      </c>
    </row>
    <row r="52" spans="1:7" ht="16.5" customHeight="1" x14ac:dyDescent="0.3">
      <c r="A52" s="27" t="s">
        <v>18</v>
      </c>
      <c r="B52" s="28">
        <f>(STDEV(B45:B50)/B51)</f>
        <v>3.0563260480438877E-3</v>
      </c>
      <c r="C52" s="29"/>
      <c r="D52" s="29"/>
      <c r="E52" s="30"/>
    </row>
    <row r="53" spans="1:7" s="410" customFormat="1" ht="16.5" customHeight="1" x14ac:dyDescent="0.3">
      <c r="A53" s="31" t="s">
        <v>19</v>
      </c>
      <c r="B53" s="32">
        <f>COUNT(B45:B50)</f>
        <v>6</v>
      </c>
      <c r="C53" s="33"/>
      <c r="D53" s="73"/>
      <c r="E53" s="35"/>
    </row>
    <row r="54" spans="1:7" s="410" customFormat="1" ht="15.75" customHeight="1" x14ac:dyDescent="0.25">
      <c r="A54" s="72"/>
      <c r="B54" s="72"/>
      <c r="C54" s="72"/>
      <c r="D54" s="72"/>
      <c r="E54" s="72"/>
    </row>
    <row r="55" spans="1:7" s="410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333"/>
      <c r="D58" s="43"/>
      <c r="F58" s="44"/>
      <c r="G58" s="44"/>
    </row>
    <row r="59" spans="1:7" ht="15" customHeight="1" x14ac:dyDescent="0.3">
      <c r="B59" s="467" t="s">
        <v>25</v>
      </c>
      <c r="C59" s="467"/>
      <c r="E59" s="465" t="s">
        <v>26</v>
      </c>
      <c r="F59" s="46"/>
      <c r="G59" s="465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3" workbookViewId="0">
      <selection activeCell="E28" sqref="E2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5" t="s">
        <v>1</v>
      </c>
      <c r="B16" s="516" t="s">
        <v>127</v>
      </c>
    </row>
    <row r="17" spans="1:6" ht="16.5" customHeight="1" x14ac:dyDescent="0.3">
      <c r="A17" s="7" t="s">
        <v>2</v>
      </c>
      <c r="B17" s="8" t="s">
        <v>4</v>
      </c>
      <c r="D17" s="9"/>
      <c r="E17" s="10"/>
    </row>
    <row r="18" spans="1:6" ht="16.5" customHeight="1" x14ac:dyDescent="0.3">
      <c r="A18" s="11" t="s">
        <v>3</v>
      </c>
      <c r="B18" s="517" t="s">
        <v>126</v>
      </c>
      <c r="C18" s="10"/>
      <c r="D18" s="10"/>
      <c r="E18" s="10"/>
    </row>
    <row r="19" spans="1:6" ht="16.5" customHeight="1" x14ac:dyDescent="0.3">
      <c r="A19" s="11" t="s">
        <v>5</v>
      </c>
      <c r="B19" s="12">
        <v>86.6</v>
      </c>
      <c r="C19" s="10"/>
      <c r="D19" s="10"/>
      <c r="E19" s="10"/>
    </row>
    <row r="20" spans="1:6" ht="16.5" customHeight="1" x14ac:dyDescent="0.3">
      <c r="A20" s="7" t="s">
        <v>7</v>
      </c>
      <c r="B20" s="12">
        <v>23.96</v>
      </c>
      <c r="C20" s="10"/>
      <c r="D20" s="10"/>
      <c r="E20" s="10"/>
    </row>
    <row r="21" spans="1:6" ht="16.5" customHeight="1" x14ac:dyDescent="0.3">
      <c r="A21" s="7" t="s">
        <v>9</v>
      </c>
      <c r="B21" s="13">
        <v>0.5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49622398</v>
      </c>
      <c r="C24" s="18">
        <v>9571</v>
      </c>
      <c r="D24" s="19">
        <v>1.2</v>
      </c>
      <c r="E24" s="20">
        <v>4.5</v>
      </c>
    </row>
    <row r="25" spans="1:6" ht="16.5" customHeight="1" x14ac:dyDescent="0.3">
      <c r="A25" s="17">
        <v>2</v>
      </c>
      <c r="B25" s="18">
        <v>48777801</v>
      </c>
      <c r="C25" s="18">
        <v>9517</v>
      </c>
      <c r="D25" s="19">
        <v>1.2</v>
      </c>
      <c r="E25" s="19">
        <v>4.4000000000000004</v>
      </c>
    </row>
    <row r="26" spans="1:6" ht="16.5" customHeight="1" x14ac:dyDescent="0.3">
      <c r="A26" s="17">
        <v>3</v>
      </c>
      <c r="B26" s="18">
        <v>48323247</v>
      </c>
      <c r="C26" s="18">
        <v>9326.1</v>
      </c>
      <c r="D26" s="19">
        <v>1.2</v>
      </c>
      <c r="E26" s="19">
        <v>4.3</v>
      </c>
    </row>
    <row r="27" spans="1:6" ht="16.5" customHeight="1" x14ac:dyDescent="0.3">
      <c r="A27" s="17">
        <v>4</v>
      </c>
      <c r="B27" s="18">
        <v>49622398</v>
      </c>
      <c r="C27" s="18">
        <v>9571</v>
      </c>
      <c r="D27" s="19">
        <v>1.2</v>
      </c>
      <c r="E27" s="19">
        <v>4.5</v>
      </c>
    </row>
    <row r="28" spans="1:6" ht="16.5" customHeight="1" x14ac:dyDescent="0.3">
      <c r="A28" s="17">
        <v>5</v>
      </c>
      <c r="B28" s="18">
        <v>48723771</v>
      </c>
      <c r="C28" s="18">
        <v>9841.6</v>
      </c>
      <c r="D28" s="19">
        <v>1.1000000000000001</v>
      </c>
      <c r="E28" s="19">
        <v>4.5999999999999996</v>
      </c>
    </row>
    <row r="29" spans="1:6" ht="16.5" customHeight="1" x14ac:dyDescent="0.3">
      <c r="A29" s="17">
        <v>6</v>
      </c>
      <c r="B29" s="21">
        <v>49344139</v>
      </c>
      <c r="C29" s="518" t="s">
        <v>130</v>
      </c>
      <c r="D29" s="22">
        <v>1.2</v>
      </c>
      <c r="E29" s="22">
        <v>4.5</v>
      </c>
    </row>
    <row r="30" spans="1:6" ht="16.5" customHeight="1" x14ac:dyDescent="0.3">
      <c r="A30" s="23" t="s">
        <v>17</v>
      </c>
      <c r="B30" s="24">
        <f>AVERAGE(B24:B29)</f>
        <v>49068959</v>
      </c>
      <c r="C30" s="25">
        <f>AVERAGE(C24:C29)</f>
        <v>9565.34</v>
      </c>
      <c r="D30" s="26">
        <f>AVERAGE(D24:D29)</f>
        <v>1.1833333333333333</v>
      </c>
      <c r="E30" s="26">
        <f>AVERAGE(E24:E29)</f>
        <v>4.4666666666666659</v>
      </c>
    </row>
    <row r="31" spans="1:6" ht="16.5" customHeight="1" x14ac:dyDescent="0.3">
      <c r="A31" s="27" t="s">
        <v>18</v>
      </c>
      <c r="B31" s="28">
        <f>(STDEV(B24:B29)/B30)</f>
        <v>1.0968356510689819E-2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3">
      <c r="A37" s="10"/>
      <c r="B37" s="515" t="s">
        <v>126</v>
      </c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3</v>
      </c>
      <c r="B39" s="8" t="s">
        <v>124</v>
      </c>
      <c r="C39" s="10"/>
      <c r="D39" s="10"/>
      <c r="E39" s="10"/>
    </row>
    <row r="40" spans="1:6" ht="16.5" customHeight="1" x14ac:dyDescent="0.3">
      <c r="A40" s="11" t="s">
        <v>5</v>
      </c>
      <c r="B40" s="12">
        <v>96.4</v>
      </c>
      <c r="C40" s="10"/>
      <c r="D40" s="10"/>
      <c r="E40" s="10"/>
    </row>
    <row r="41" spans="1:6" ht="16.5" customHeight="1" x14ac:dyDescent="0.3">
      <c r="A41" s="7" t="s">
        <v>7</v>
      </c>
      <c r="B41" s="12">
        <v>23.1</v>
      </c>
      <c r="C41" s="10"/>
      <c r="D41" s="10"/>
      <c r="E41" s="10"/>
    </row>
    <row r="42" spans="1:6" ht="16.5" customHeight="1" x14ac:dyDescent="0.3">
      <c r="A42" s="7" t="s">
        <v>9</v>
      </c>
      <c r="B42" s="13">
        <v>0.125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113104485</v>
      </c>
      <c r="C45" s="18">
        <v>7135.2</v>
      </c>
      <c r="D45" s="19">
        <v>1</v>
      </c>
      <c r="E45" s="20">
        <v>7.8</v>
      </c>
    </row>
    <row r="46" spans="1:6" ht="16.5" customHeight="1" x14ac:dyDescent="0.3">
      <c r="A46" s="17">
        <v>2</v>
      </c>
      <c r="B46" s="18">
        <v>112525467</v>
      </c>
      <c r="C46" s="18">
        <v>7010.6</v>
      </c>
      <c r="D46" s="19">
        <v>1</v>
      </c>
      <c r="E46" s="19">
        <v>7.6</v>
      </c>
    </row>
    <row r="47" spans="1:6" ht="16.5" customHeight="1" x14ac:dyDescent="0.3">
      <c r="A47" s="17">
        <v>3</v>
      </c>
      <c r="B47" s="18">
        <v>108739959</v>
      </c>
      <c r="C47" s="18">
        <v>7012.2</v>
      </c>
      <c r="D47" s="19">
        <v>1</v>
      </c>
      <c r="E47" s="19">
        <v>7.6</v>
      </c>
    </row>
    <row r="48" spans="1:6" ht="16.5" customHeight="1" x14ac:dyDescent="0.3">
      <c r="A48" s="17">
        <v>4</v>
      </c>
      <c r="B48" s="18">
        <v>110031634</v>
      </c>
      <c r="C48" s="18">
        <v>5874.6</v>
      </c>
      <c r="D48" s="19">
        <v>1</v>
      </c>
      <c r="E48" s="19">
        <v>7.5</v>
      </c>
    </row>
    <row r="49" spans="1:7" ht="16.5" customHeight="1" x14ac:dyDescent="0.3">
      <c r="A49" s="17">
        <v>5</v>
      </c>
      <c r="B49" s="18">
        <v>109871362</v>
      </c>
      <c r="C49" s="18">
        <v>6808</v>
      </c>
      <c r="D49" s="19">
        <v>1</v>
      </c>
      <c r="E49" s="19">
        <v>7.4</v>
      </c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>
        <f>AVERAGE(B45:B50)</f>
        <v>110854581.40000001</v>
      </c>
      <c r="C51" s="25">
        <f>AVERAGE(C45:C50)</f>
        <v>6768.12</v>
      </c>
      <c r="D51" s="26">
        <f>AVERAGE(D45:D50)</f>
        <v>1</v>
      </c>
      <c r="E51" s="26">
        <f>AVERAGE(E45:E50)</f>
        <v>7.58</v>
      </c>
    </row>
    <row r="52" spans="1:7" ht="16.5" customHeight="1" x14ac:dyDescent="0.3">
      <c r="A52" s="27" t="s">
        <v>18</v>
      </c>
      <c r="B52" s="28">
        <f>(STDEV(B45:B50)/B51)</f>
        <v>1.6858038119941625E-2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5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7" t="s">
        <v>25</v>
      </c>
      <c r="C59" s="467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1" t="s">
        <v>30</v>
      </c>
      <c r="B11" s="472"/>
      <c r="C11" s="472"/>
      <c r="D11" s="472"/>
      <c r="E11" s="472"/>
      <c r="F11" s="473"/>
      <c r="G11" s="91"/>
    </row>
    <row r="12" spans="1:7" ht="16.5" customHeight="1" x14ac:dyDescent="0.3">
      <c r="A12" s="470" t="s">
        <v>31</v>
      </c>
      <c r="B12" s="470"/>
      <c r="C12" s="470"/>
      <c r="D12" s="470"/>
      <c r="E12" s="470"/>
      <c r="F12" s="470"/>
      <c r="G12" s="90"/>
    </row>
    <row r="14" spans="1:7" ht="16.5" customHeight="1" x14ac:dyDescent="0.3">
      <c r="A14" s="475" t="s">
        <v>32</v>
      </c>
      <c r="B14" s="475"/>
      <c r="C14" s="60" t="s">
        <v>4</v>
      </c>
    </row>
    <row r="15" spans="1:7" ht="16.5" customHeight="1" x14ac:dyDescent="0.3">
      <c r="A15" s="475" t="s">
        <v>33</v>
      </c>
      <c r="B15" s="475"/>
      <c r="C15" s="60" t="s">
        <v>6</v>
      </c>
    </row>
    <row r="16" spans="1:7" ht="16.5" customHeight="1" x14ac:dyDescent="0.3">
      <c r="A16" s="475" t="s">
        <v>34</v>
      </c>
      <c r="B16" s="475"/>
      <c r="C16" s="60" t="s">
        <v>8</v>
      </c>
    </row>
    <row r="17" spans="1:5" ht="16.5" customHeight="1" x14ac:dyDescent="0.3">
      <c r="A17" s="475" t="s">
        <v>35</v>
      </c>
      <c r="B17" s="475"/>
      <c r="C17" s="60" t="s">
        <v>10</v>
      </c>
    </row>
    <row r="18" spans="1:5" ht="16.5" customHeight="1" x14ac:dyDescent="0.3">
      <c r="A18" s="475" t="s">
        <v>36</v>
      </c>
      <c r="B18" s="475"/>
      <c r="C18" s="97" t="s">
        <v>11</v>
      </c>
    </row>
    <row r="19" spans="1:5" ht="16.5" customHeight="1" x14ac:dyDescent="0.3">
      <c r="A19" s="475" t="s">
        <v>37</v>
      </c>
      <c r="B19" s="47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0" t="s">
        <v>1</v>
      </c>
      <c r="B21" s="470"/>
      <c r="C21" s="59" t="s">
        <v>38</v>
      </c>
      <c r="D21" s="66"/>
    </row>
    <row r="22" spans="1:5" ht="15.75" customHeight="1" x14ac:dyDescent="0.3">
      <c r="A22" s="474"/>
      <c r="B22" s="474"/>
      <c r="C22" s="57"/>
      <c r="D22" s="474"/>
      <c r="E22" s="474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1078.8499999999999</v>
      </c>
      <c r="D24" s="87">
        <f t="shared" ref="D24:D43" si="0">(C24-$C$46)/$C$46</f>
        <v>-1.4165910892514117E-2</v>
      </c>
      <c r="E24" s="53"/>
    </row>
    <row r="25" spans="1:5" ht="15.75" customHeight="1" x14ac:dyDescent="0.3">
      <c r="C25" s="95">
        <v>1086.18</v>
      </c>
      <c r="D25" s="88">
        <f t="shared" si="0"/>
        <v>-7.4678862615107106E-3</v>
      </c>
      <c r="E25" s="53"/>
    </row>
    <row r="26" spans="1:5" ht="15.75" customHeight="1" x14ac:dyDescent="0.3">
      <c r="C26" s="95">
        <v>1109.82</v>
      </c>
      <c r="D26" s="88">
        <f t="shared" si="0"/>
        <v>1.4133928510237764E-2</v>
      </c>
      <c r="E26" s="53"/>
    </row>
    <row r="27" spans="1:5" ht="15.75" customHeight="1" x14ac:dyDescent="0.3">
      <c r="C27" s="95">
        <v>1089.23</v>
      </c>
      <c r="D27" s="88">
        <f t="shared" si="0"/>
        <v>-4.6808500917208534E-3</v>
      </c>
      <c r="E27" s="53"/>
    </row>
    <row r="28" spans="1:5" ht="15.75" customHeight="1" x14ac:dyDescent="0.3">
      <c r="C28" s="95">
        <v>1140.57</v>
      </c>
      <c r="D28" s="88">
        <f t="shared" si="0"/>
        <v>4.2232735795824448E-2</v>
      </c>
      <c r="E28" s="53"/>
    </row>
    <row r="29" spans="1:5" ht="15.75" customHeight="1" x14ac:dyDescent="0.3">
      <c r="C29" s="95">
        <v>1094.25</v>
      </c>
      <c r="D29" s="88">
        <f t="shared" si="0"/>
        <v>-9.3662690951922372E-5</v>
      </c>
      <c r="E29" s="53"/>
    </row>
    <row r="30" spans="1:5" ht="15.75" customHeight="1" x14ac:dyDescent="0.3">
      <c r="C30" s="95">
        <v>1060.5899999999999</v>
      </c>
      <c r="D30" s="88">
        <f t="shared" si="0"/>
        <v>-3.0851576617223469E-2</v>
      </c>
      <c r="E30" s="53"/>
    </row>
    <row r="31" spans="1:5" ht="15.75" customHeight="1" x14ac:dyDescent="0.3">
      <c r="C31" s="95">
        <v>1114.99</v>
      </c>
      <c r="D31" s="88">
        <f t="shared" si="0"/>
        <v>1.8858183263619398E-2</v>
      </c>
      <c r="E31" s="53"/>
    </row>
    <row r="32" spans="1:5" ht="15.75" customHeight="1" x14ac:dyDescent="0.3">
      <c r="C32" s="95">
        <v>1074.26</v>
      </c>
      <c r="D32" s="88">
        <f t="shared" si="0"/>
        <v>-1.8360171882460152E-2</v>
      </c>
      <c r="E32" s="53"/>
    </row>
    <row r="33" spans="1:7" ht="15.75" customHeight="1" x14ac:dyDescent="0.3">
      <c r="C33" s="95">
        <v>1076.78</v>
      </c>
      <c r="D33" s="88">
        <f t="shared" si="0"/>
        <v>-1.6057440358568188E-2</v>
      </c>
      <c r="E33" s="53"/>
    </row>
    <row r="34" spans="1:7" ht="15.75" customHeight="1" x14ac:dyDescent="0.3">
      <c r="C34" s="95">
        <v>1099.01</v>
      </c>
      <c r="D34" s="88">
        <f t="shared" si="0"/>
        <v>4.2559412986218131E-3</v>
      </c>
      <c r="E34" s="53"/>
    </row>
    <row r="35" spans="1:7" ht="15.75" customHeight="1" x14ac:dyDescent="0.3">
      <c r="C35" s="95">
        <v>1100.72</v>
      </c>
      <c r="D35" s="88">
        <f t="shared" si="0"/>
        <v>5.818509118405691E-3</v>
      </c>
      <c r="E35" s="53"/>
    </row>
    <row r="36" spans="1:7" ht="15.75" customHeight="1" x14ac:dyDescent="0.3">
      <c r="C36" s="95">
        <v>1055.29</v>
      </c>
      <c r="D36" s="88">
        <f t="shared" si="0"/>
        <v>-3.5694623076202595E-2</v>
      </c>
      <c r="E36" s="53"/>
    </row>
    <row r="37" spans="1:7" ht="15.75" customHeight="1" x14ac:dyDescent="0.3">
      <c r="C37" s="95">
        <v>1078.47</v>
      </c>
      <c r="D37" s="88">
        <f t="shared" si="0"/>
        <v>-1.4513148185799308E-2</v>
      </c>
      <c r="E37" s="53"/>
    </row>
    <row r="38" spans="1:7" ht="15.75" customHeight="1" x14ac:dyDescent="0.3">
      <c r="C38" s="95">
        <v>1114.99</v>
      </c>
      <c r="D38" s="88">
        <f t="shared" si="0"/>
        <v>1.8858183263619398E-2</v>
      </c>
      <c r="E38" s="53"/>
    </row>
    <row r="39" spans="1:7" ht="15.75" customHeight="1" x14ac:dyDescent="0.3">
      <c r="C39" s="95">
        <v>1125.0999999999999</v>
      </c>
      <c r="D39" s="88">
        <f t="shared" si="0"/>
        <v>2.8096522829709758E-2</v>
      </c>
      <c r="E39" s="53"/>
    </row>
    <row r="40" spans="1:7" ht="15.75" customHeight="1" x14ac:dyDescent="0.3">
      <c r="C40" s="95">
        <v>1048.43</v>
      </c>
      <c r="D40" s="88">
        <f t="shared" si="0"/>
        <v>-4.1963170002352897E-2</v>
      </c>
      <c r="E40" s="53"/>
    </row>
    <row r="41" spans="1:7" ht="15.75" customHeight="1" x14ac:dyDescent="0.3">
      <c r="C41" s="95">
        <v>1159.6400000000001</v>
      </c>
      <c r="D41" s="88">
        <f t="shared" si="0"/>
        <v>5.9658565224642093E-2</v>
      </c>
      <c r="E41" s="53"/>
    </row>
    <row r="42" spans="1:7" ht="15.75" customHeight="1" x14ac:dyDescent="0.3">
      <c r="C42" s="95">
        <v>1088.0899999999999</v>
      </c>
      <c r="D42" s="88">
        <f t="shared" si="0"/>
        <v>-5.7225619715768417E-3</v>
      </c>
      <c r="E42" s="53"/>
    </row>
    <row r="43" spans="1:7" ht="16.5" customHeight="1" x14ac:dyDescent="0.3">
      <c r="C43" s="96">
        <v>1091.79</v>
      </c>
      <c r="D43" s="89">
        <f t="shared" si="0"/>
        <v>-2.3415672737988904E-3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21887.05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1094.3525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68">
        <f>C46</f>
        <v>1094.3525</v>
      </c>
      <c r="C49" s="93">
        <f>-IF(C46&lt;=80,10%,IF(C46&lt;250,7.5%,5%))</f>
        <v>-0.05</v>
      </c>
      <c r="D49" s="81">
        <f>IF(C46&lt;=80,C46*0.9,IF(C46&lt;250,C46*0.925,C46*0.95))</f>
        <v>1039.634875</v>
      </c>
    </row>
    <row r="50" spans="1:6" ht="17.25" customHeight="1" x14ac:dyDescent="0.3">
      <c r="B50" s="469"/>
      <c r="C50" s="94">
        <f>IF(C46&lt;=80, 10%, IF(C46&lt;250, 7.5%, 5%))</f>
        <v>0.05</v>
      </c>
      <c r="D50" s="81">
        <f>IF(C46&lt;=80, C46*1.1, IF(C46&lt;250, C46*1.075, C46*1.05))</f>
        <v>1149.070125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4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79" zoomScale="50" zoomScaleNormal="40" zoomScalePageLayoutView="50" workbookViewId="0">
      <selection activeCell="F116" sqref="F11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4" t="s">
        <v>44</v>
      </c>
      <c r="B1" s="504"/>
      <c r="C1" s="504"/>
      <c r="D1" s="504"/>
      <c r="E1" s="504"/>
      <c r="F1" s="504"/>
      <c r="G1" s="504"/>
      <c r="H1" s="504"/>
      <c r="I1" s="504"/>
    </row>
    <row r="2" spans="1:9" ht="18.75" customHeight="1" x14ac:dyDescent="0.25">
      <c r="A2" s="504"/>
      <c r="B2" s="504"/>
      <c r="C2" s="504"/>
      <c r="D2" s="504"/>
      <c r="E2" s="504"/>
      <c r="F2" s="504"/>
      <c r="G2" s="504"/>
      <c r="H2" s="504"/>
      <c r="I2" s="504"/>
    </row>
    <row r="3" spans="1:9" ht="18.75" customHeight="1" x14ac:dyDescent="0.25">
      <c r="A3" s="504"/>
      <c r="B3" s="504"/>
      <c r="C3" s="504"/>
      <c r="D3" s="504"/>
      <c r="E3" s="504"/>
      <c r="F3" s="504"/>
      <c r="G3" s="504"/>
      <c r="H3" s="504"/>
      <c r="I3" s="504"/>
    </row>
    <row r="4" spans="1:9" ht="18.75" customHeight="1" x14ac:dyDescent="0.25">
      <c r="A4" s="504"/>
      <c r="B4" s="504"/>
      <c r="C4" s="504"/>
      <c r="D4" s="504"/>
      <c r="E4" s="504"/>
      <c r="F4" s="504"/>
      <c r="G4" s="504"/>
      <c r="H4" s="504"/>
      <c r="I4" s="504"/>
    </row>
    <row r="5" spans="1:9" ht="18.75" customHeight="1" x14ac:dyDescent="0.25">
      <c r="A5" s="504"/>
      <c r="B5" s="504"/>
      <c r="C5" s="504"/>
      <c r="D5" s="504"/>
      <c r="E5" s="504"/>
      <c r="F5" s="504"/>
      <c r="G5" s="504"/>
      <c r="H5" s="504"/>
      <c r="I5" s="504"/>
    </row>
    <row r="6" spans="1:9" ht="18.75" customHeight="1" x14ac:dyDescent="0.25">
      <c r="A6" s="504"/>
      <c r="B6" s="504"/>
      <c r="C6" s="504"/>
      <c r="D6" s="504"/>
      <c r="E6" s="504"/>
      <c r="F6" s="504"/>
      <c r="G6" s="504"/>
      <c r="H6" s="504"/>
      <c r="I6" s="504"/>
    </row>
    <row r="7" spans="1:9" ht="18.75" customHeight="1" x14ac:dyDescent="0.25">
      <c r="A7" s="504"/>
      <c r="B7" s="504"/>
      <c r="C7" s="504"/>
      <c r="D7" s="504"/>
      <c r="E7" s="504"/>
      <c r="F7" s="504"/>
      <c r="G7" s="504"/>
      <c r="H7" s="504"/>
      <c r="I7" s="504"/>
    </row>
    <row r="8" spans="1:9" x14ac:dyDescent="0.25">
      <c r="A8" s="505" t="s">
        <v>45</v>
      </c>
      <c r="B8" s="505"/>
      <c r="C8" s="505"/>
      <c r="D8" s="505"/>
      <c r="E8" s="505"/>
      <c r="F8" s="505"/>
      <c r="G8" s="505"/>
      <c r="H8" s="505"/>
      <c r="I8" s="505"/>
    </row>
    <row r="9" spans="1:9" x14ac:dyDescent="0.25">
      <c r="A9" s="505"/>
      <c r="B9" s="505"/>
      <c r="C9" s="505"/>
      <c r="D9" s="505"/>
      <c r="E9" s="505"/>
      <c r="F9" s="505"/>
      <c r="G9" s="505"/>
      <c r="H9" s="505"/>
      <c r="I9" s="505"/>
    </row>
    <row r="10" spans="1:9" x14ac:dyDescent="0.25">
      <c r="A10" s="505"/>
      <c r="B10" s="505"/>
      <c r="C10" s="505"/>
      <c r="D10" s="505"/>
      <c r="E10" s="505"/>
      <c r="F10" s="505"/>
      <c r="G10" s="505"/>
      <c r="H10" s="505"/>
      <c r="I10" s="505"/>
    </row>
    <row r="11" spans="1:9" x14ac:dyDescent="0.25">
      <c r="A11" s="505"/>
      <c r="B11" s="505"/>
      <c r="C11" s="505"/>
      <c r="D11" s="505"/>
      <c r="E11" s="505"/>
      <c r="F11" s="505"/>
      <c r="G11" s="505"/>
      <c r="H11" s="505"/>
      <c r="I11" s="505"/>
    </row>
    <row r="12" spans="1:9" x14ac:dyDescent="0.25">
      <c r="A12" s="505"/>
      <c r="B12" s="505"/>
      <c r="C12" s="505"/>
      <c r="D12" s="505"/>
      <c r="E12" s="505"/>
      <c r="F12" s="505"/>
      <c r="G12" s="505"/>
      <c r="H12" s="505"/>
      <c r="I12" s="505"/>
    </row>
    <row r="13" spans="1:9" x14ac:dyDescent="0.25">
      <c r="A13" s="505"/>
      <c r="B13" s="505"/>
      <c r="C13" s="505"/>
      <c r="D13" s="505"/>
      <c r="E13" s="505"/>
      <c r="F13" s="505"/>
      <c r="G13" s="505"/>
      <c r="H13" s="505"/>
      <c r="I13" s="505"/>
    </row>
    <row r="14" spans="1:9" x14ac:dyDescent="0.25">
      <c r="A14" s="505"/>
      <c r="B14" s="505"/>
      <c r="C14" s="505"/>
      <c r="D14" s="505"/>
      <c r="E14" s="505"/>
      <c r="F14" s="505"/>
      <c r="G14" s="505"/>
      <c r="H14" s="505"/>
      <c r="I14" s="505"/>
    </row>
    <row r="15" spans="1:9" ht="19.5" customHeight="1" x14ac:dyDescent="0.3">
      <c r="A15" s="98"/>
    </row>
    <row r="16" spans="1:9" ht="19.5" customHeight="1" x14ac:dyDescent="0.3">
      <c r="A16" s="477" t="s">
        <v>30</v>
      </c>
      <c r="B16" s="478"/>
      <c r="C16" s="478"/>
      <c r="D16" s="478"/>
      <c r="E16" s="478"/>
      <c r="F16" s="478"/>
      <c r="G16" s="478"/>
      <c r="H16" s="479"/>
    </row>
    <row r="17" spans="1:14" ht="20.25" customHeight="1" x14ac:dyDescent="0.25">
      <c r="A17" s="480" t="s">
        <v>46</v>
      </c>
      <c r="B17" s="480"/>
      <c r="C17" s="480"/>
      <c r="D17" s="480"/>
      <c r="E17" s="480"/>
      <c r="F17" s="480"/>
      <c r="G17" s="480"/>
      <c r="H17" s="480"/>
    </row>
    <row r="18" spans="1:14" ht="26.25" customHeight="1" x14ac:dyDescent="0.4">
      <c r="A18" s="100" t="s">
        <v>32</v>
      </c>
      <c r="B18" s="476" t="s">
        <v>4</v>
      </c>
      <c r="C18" s="476"/>
      <c r="D18" s="267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6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481" t="s">
        <v>8</v>
      </c>
      <c r="C20" s="481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481" t="s">
        <v>10</v>
      </c>
      <c r="C21" s="481"/>
      <c r="D21" s="481"/>
      <c r="E21" s="481"/>
      <c r="F21" s="481"/>
      <c r="G21" s="481"/>
      <c r="H21" s="481"/>
      <c r="I21" s="104"/>
    </row>
    <row r="22" spans="1:14" ht="26.25" customHeight="1" x14ac:dyDescent="0.4">
      <c r="A22" s="100" t="s">
        <v>36</v>
      </c>
      <c r="B22" s="105" t="s">
        <v>11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3</v>
      </c>
      <c r="B26" s="476" t="s">
        <v>124</v>
      </c>
      <c r="C26" s="476"/>
    </row>
    <row r="27" spans="1:14" ht="26.25" customHeight="1" x14ac:dyDescent="0.4">
      <c r="A27" s="109" t="s">
        <v>47</v>
      </c>
      <c r="B27" s="482"/>
      <c r="C27" s="482"/>
    </row>
    <row r="28" spans="1:14" ht="27" customHeight="1" x14ac:dyDescent="0.4">
      <c r="A28" s="109" t="s">
        <v>5</v>
      </c>
      <c r="B28" s="110">
        <v>86.6</v>
      </c>
    </row>
    <row r="29" spans="1:14" s="14" customFormat="1" ht="27" customHeight="1" x14ac:dyDescent="0.4">
      <c r="A29" s="109" t="s">
        <v>48</v>
      </c>
      <c r="B29" s="111"/>
      <c r="C29" s="483" t="s">
        <v>49</v>
      </c>
      <c r="D29" s="484"/>
      <c r="E29" s="484"/>
      <c r="F29" s="484"/>
      <c r="G29" s="485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86.6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486" t="s">
        <v>52</v>
      </c>
      <c r="D31" s="487"/>
      <c r="E31" s="487"/>
      <c r="F31" s="487"/>
      <c r="G31" s="487"/>
      <c r="H31" s="488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486" t="s">
        <v>54</v>
      </c>
      <c r="D32" s="487"/>
      <c r="E32" s="487"/>
      <c r="F32" s="487"/>
      <c r="G32" s="487"/>
      <c r="H32" s="48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20</v>
      </c>
      <c r="C36" s="99"/>
      <c r="D36" s="489" t="s">
        <v>58</v>
      </c>
      <c r="E36" s="490"/>
      <c r="F36" s="489" t="s">
        <v>59</v>
      </c>
      <c r="G36" s="491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10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25</v>
      </c>
      <c r="C38" s="131">
        <v>1</v>
      </c>
      <c r="D38" s="132">
        <v>54164074</v>
      </c>
      <c r="E38" s="133">
        <f>IF(ISBLANK(D38),"-",$D$48/$D$45*D38)</f>
        <v>59748872.843311757</v>
      </c>
      <c r="F38" s="132">
        <v>54754413</v>
      </c>
      <c r="G38" s="134">
        <f>IF(ISBLANK(F38),"-",$D$48/$F$45*F38)</f>
        <v>61313813.857529603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54162399</v>
      </c>
      <c r="E39" s="138">
        <f>IF(ISBLANK(D39),"-",$D$48/$D$45*D39)</f>
        <v>59747025.135880947</v>
      </c>
      <c r="F39" s="137">
        <v>54452523</v>
      </c>
      <c r="G39" s="139">
        <f>IF(ISBLANK(F39),"-",$D$48/$F$45*F39)</f>
        <v>60975758.415944472</v>
      </c>
      <c r="I39" s="493">
        <f>ABS((F43/D43*D42)-F42)/D42</f>
        <v>1.6151577930140475E-2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54863362</v>
      </c>
      <c r="E40" s="138">
        <f>IF(ISBLANK(D40),"-",$D$48/$D$45*D40)</f>
        <v>60520263.66950503</v>
      </c>
      <c r="F40" s="137">
        <v>54186726</v>
      </c>
      <c r="G40" s="139">
        <f>IF(ISBLANK(F40),"-",$D$48/$F$45*F40)</f>
        <v>60678119.798544087</v>
      </c>
      <c r="I40" s="493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54396611.666666664</v>
      </c>
      <c r="E42" s="148">
        <f>AVERAGE(E38:E41)</f>
        <v>60005387.216232575</v>
      </c>
      <c r="F42" s="147">
        <f>AVERAGE(F38:F41)</f>
        <v>54464554</v>
      </c>
      <c r="G42" s="149">
        <f>AVERAGE(G38:G41)</f>
        <v>60989230.690672718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26.17</v>
      </c>
      <c r="E43" s="140"/>
      <c r="F43" s="152">
        <v>25.78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26.17</v>
      </c>
      <c r="E44" s="155"/>
      <c r="F44" s="154">
        <f>F43*$B$34</f>
        <v>25.78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50</v>
      </c>
      <c r="C45" s="153" t="s">
        <v>76</v>
      </c>
      <c r="D45" s="157">
        <f>D44*$B$30/100</f>
        <v>22.663220000000003</v>
      </c>
      <c r="E45" s="158"/>
      <c r="F45" s="157">
        <f>F44*$B$30/100</f>
        <v>22.325479999999999</v>
      </c>
      <c r="H45" s="150"/>
    </row>
    <row r="46" spans="1:14" ht="19.5" customHeight="1" x14ac:dyDescent="0.3">
      <c r="A46" s="494" t="s">
        <v>77</v>
      </c>
      <c r="B46" s="495"/>
      <c r="C46" s="153" t="s">
        <v>78</v>
      </c>
      <c r="D46" s="159">
        <f>D45/$B$45</f>
        <v>0.45326440000000007</v>
      </c>
      <c r="E46" s="160"/>
      <c r="F46" s="161">
        <f>F45/$B$45</f>
        <v>0.44650959999999995</v>
      </c>
      <c r="H46" s="150"/>
    </row>
    <row r="47" spans="1:14" ht="27" customHeight="1" x14ac:dyDescent="0.4">
      <c r="A47" s="496"/>
      <c r="B47" s="497"/>
      <c r="C47" s="162" t="s">
        <v>79</v>
      </c>
      <c r="D47" s="163">
        <v>0.5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25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60497308.953452654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1.0589040717430201E-2</v>
      </c>
      <c r="F51" s="170"/>
      <c r="H51" s="150"/>
    </row>
    <row r="52" spans="1:12" ht="19.5" customHeight="1" x14ac:dyDescent="0.3">
      <c r="C52" s="172" t="s">
        <v>19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Each fil coated tablet contains: Amoxicillin Trihydrate equivalent to Amoxicillin 500mg
Clavulanate Potassium equivalent to Clavulanic Acid 125MG</v>
      </c>
    </row>
    <row r="56" spans="1:12" ht="26.25" customHeight="1" x14ac:dyDescent="0.4">
      <c r="A56" s="177" t="s">
        <v>86</v>
      </c>
      <c r="B56" s="178">
        <v>500</v>
      </c>
      <c r="C56" s="99" t="str">
        <f>B20</f>
        <v>Amoxicillin &amp; Clavulanate Potassium</v>
      </c>
      <c r="H56" s="179"/>
    </row>
    <row r="57" spans="1:12" ht="18.75" x14ac:dyDescent="0.3">
      <c r="A57" s="176" t="s">
        <v>87</v>
      </c>
      <c r="B57" s="268">
        <f>Uniformity!C46</f>
        <v>1094.3525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1</v>
      </c>
      <c r="C60" s="498" t="s">
        <v>93</v>
      </c>
      <c r="D60" s="501">
        <v>131.29</v>
      </c>
      <c r="E60" s="182">
        <v>1</v>
      </c>
      <c r="F60" s="183">
        <v>74166596</v>
      </c>
      <c r="G60" s="269">
        <f>IF(ISBLANK(F60),"-",(F60/$D$50*$D$47*$B$68)*($B$57/$D$60))</f>
        <v>510.93761970984548</v>
      </c>
      <c r="H60" s="184">
        <f t="shared" ref="H60:H71" si="0">IF(ISBLANK(F60),"-",G60/$B$56)</f>
        <v>1.0218752394196911</v>
      </c>
      <c r="L60" s="112"/>
    </row>
    <row r="61" spans="1:12" s="14" customFormat="1" ht="26.25" customHeight="1" x14ac:dyDescent="0.4">
      <c r="A61" s="124" t="s">
        <v>94</v>
      </c>
      <c r="B61" s="125">
        <v>1</v>
      </c>
      <c r="C61" s="499"/>
      <c r="D61" s="502"/>
      <c r="E61" s="185">
        <v>2</v>
      </c>
      <c r="F61" s="137">
        <v>73863550</v>
      </c>
      <c r="G61" s="270">
        <f>IF(ISBLANK(F61),"-",(F61/$D$50*$D$47*$B$68)*($B$57/$D$60))</f>
        <v>508.84991971748508</v>
      </c>
      <c r="H61" s="186">
        <f t="shared" si="0"/>
        <v>1.0176998394349701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499"/>
      <c r="D62" s="502"/>
      <c r="E62" s="185">
        <v>3</v>
      </c>
      <c r="F62" s="187">
        <v>74557763</v>
      </c>
      <c r="G62" s="270">
        <f>IF(ISBLANK(F62),"-",(F62/$D$50*$D$47*$B$68)*($B$57/$D$60))</f>
        <v>513.6323899523552</v>
      </c>
      <c r="H62" s="186">
        <f t="shared" si="0"/>
        <v>1.0272647799047103</v>
      </c>
      <c r="L62" s="112"/>
    </row>
    <row r="63" spans="1:12" ht="27" customHeight="1" x14ac:dyDescent="0.4">
      <c r="A63" s="124" t="s">
        <v>96</v>
      </c>
      <c r="B63" s="125">
        <v>1</v>
      </c>
      <c r="C63" s="500"/>
      <c r="D63" s="503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498" t="s">
        <v>98</v>
      </c>
      <c r="D64" s="501">
        <v>140.57</v>
      </c>
      <c r="E64" s="182">
        <v>1</v>
      </c>
      <c r="F64" s="183">
        <v>79219915</v>
      </c>
      <c r="G64" s="271">
        <f>IF(ISBLANK(F64),"-",(F64/$D$50*$D$47*$B$68)*($B$57/$D$64))</f>
        <v>509.72144922852891</v>
      </c>
      <c r="H64" s="190">
        <f t="shared" si="0"/>
        <v>1.0194428984570578</v>
      </c>
    </row>
    <row r="65" spans="1:8" ht="26.25" customHeight="1" x14ac:dyDescent="0.4">
      <c r="A65" s="124" t="s">
        <v>99</v>
      </c>
      <c r="B65" s="125">
        <v>1</v>
      </c>
      <c r="C65" s="499"/>
      <c r="D65" s="502"/>
      <c r="E65" s="185">
        <v>2</v>
      </c>
      <c r="F65" s="137">
        <v>78093206</v>
      </c>
      <c r="G65" s="272">
        <f>IF(ISBLANK(F65),"-",(F65/$D$50*$D$47*$B$68)*($B$57/$D$64))</f>
        <v>502.47191173105966</v>
      </c>
      <c r="H65" s="191">
        <f t="shared" si="0"/>
        <v>1.0049438234621193</v>
      </c>
    </row>
    <row r="66" spans="1:8" ht="26.25" customHeight="1" x14ac:dyDescent="0.4">
      <c r="A66" s="124" t="s">
        <v>100</v>
      </c>
      <c r="B66" s="125">
        <v>1</v>
      </c>
      <c r="C66" s="499"/>
      <c r="D66" s="502"/>
      <c r="E66" s="185">
        <v>3</v>
      </c>
      <c r="F66" s="137">
        <v>79419771</v>
      </c>
      <c r="G66" s="272">
        <f>IF(ISBLANK(F66),"-",(F66/$D$50*$D$47*$B$68)*($B$57/$D$64))</f>
        <v>511.00737449059233</v>
      </c>
      <c r="H66" s="191">
        <f t="shared" si="0"/>
        <v>1.0220147489811846</v>
      </c>
    </row>
    <row r="67" spans="1:8" ht="27" customHeight="1" x14ac:dyDescent="0.4">
      <c r="A67" s="124" t="s">
        <v>101</v>
      </c>
      <c r="B67" s="125">
        <v>1</v>
      </c>
      <c r="C67" s="500"/>
      <c r="D67" s="503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>
        <f>(B67/B66)*(B65/B64)*(B63/B62)*(B61/B60)*B59</f>
        <v>100</v>
      </c>
      <c r="C68" s="498" t="s">
        <v>103</v>
      </c>
      <c r="D68" s="501">
        <v>127.64</v>
      </c>
      <c r="E68" s="182">
        <v>1</v>
      </c>
      <c r="F68" s="183">
        <v>70258291</v>
      </c>
      <c r="G68" s="271">
        <f>IF(ISBLANK(F68),"-",(F68/$D$50*$D$47*$B$68)*($B$57/$D$68))</f>
        <v>497.85396240166864</v>
      </c>
      <c r="H68" s="186">
        <f t="shared" si="0"/>
        <v>0.99570792480333725</v>
      </c>
    </row>
    <row r="69" spans="1:8" ht="27" customHeight="1" x14ac:dyDescent="0.4">
      <c r="A69" s="172" t="s">
        <v>104</v>
      </c>
      <c r="B69" s="194">
        <f>(D47*B68)/B56*B57</f>
        <v>109.43525</v>
      </c>
      <c r="C69" s="499"/>
      <c r="D69" s="502"/>
      <c r="E69" s="185">
        <v>2</v>
      </c>
      <c r="F69" s="137">
        <v>71967613</v>
      </c>
      <c r="G69" s="272">
        <f>IF(ISBLANK(F69),"-",(F69/$D$50*$D$47*$B$68)*($B$57/$D$68))</f>
        <v>509.96630841248094</v>
      </c>
      <c r="H69" s="186">
        <f t="shared" si="0"/>
        <v>1.0199326168249618</v>
      </c>
    </row>
    <row r="70" spans="1:8" ht="26.25" customHeight="1" x14ac:dyDescent="0.4">
      <c r="A70" s="511" t="s">
        <v>77</v>
      </c>
      <c r="B70" s="512"/>
      <c r="C70" s="499"/>
      <c r="D70" s="502"/>
      <c r="E70" s="185">
        <v>3</v>
      </c>
      <c r="F70" s="137">
        <v>70829758</v>
      </c>
      <c r="G70" s="272">
        <f>IF(ISBLANK(F70),"-",(F70/$D$50*$D$47*$B$68)*($B$57/$D$68))</f>
        <v>501.9034077593958</v>
      </c>
      <c r="H70" s="186">
        <f t="shared" si="0"/>
        <v>1.0038068155187916</v>
      </c>
    </row>
    <row r="71" spans="1:8" ht="27" customHeight="1" x14ac:dyDescent="0.4">
      <c r="A71" s="513"/>
      <c r="B71" s="514"/>
      <c r="C71" s="510"/>
      <c r="D71" s="503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/>
      <c r="G72" s="278">
        <f>AVERAGE(G60:G71)</f>
        <v>507.37159371149016</v>
      </c>
      <c r="H72" s="199">
        <f>AVERAGE(H60:H71)</f>
        <v>1.0147431874229804</v>
      </c>
    </row>
    <row r="73" spans="1:8" ht="26.25" customHeight="1" x14ac:dyDescent="0.4">
      <c r="C73" s="196"/>
      <c r="D73" s="196"/>
      <c r="E73" s="196"/>
      <c r="F73" s="200" t="s">
        <v>83</v>
      </c>
      <c r="G73" s="274">
        <f>STDEV(G60:G71)/G72</f>
        <v>1.0430782965100194E-2</v>
      </c>
      <c r="H73" s="274">
        <f>STDEV(H60:H71)/H72</f>
        <v>1.0430782965100192E-2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19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105</v>
      </c>
      <c r="B76" s="204" t="s">
        <v>106</v>
      </c>
      <c r="C76" s="506" t="str">
        <f>B20</f>
        <v>Amoxicillin &amp; Clavulanate Potassium</v>
      </c>
      <c r="D76" s="506"/>
      <c r="E76" s="205" t="s">
        <v>107</v>
      </c>
      <c r="F76" s="205"/>
      <c r="G76" s="206">
        <f>H72</f>
        <v>1.0147431874229804</v>
      </c>
      <c r="H76" s="207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3</v>
      </c>
      <c r="B79" s="492" t="str">
        <f>B26</f>
        <v>Amoxicillin</v>
      </c>
      <c r="C79" s="492"/>
    </row>
    <row r="80" spans="1:8" ht="26.25" customHeight="1" x14ac:dyDescent="0.4">
      <c r="A80" s="109" t="s">
        <v>47</v>
      </c>
      <c r="B80" s="492">
        <f>B27</f>
        <v>0</v>
      </c>
      <c r="C80" s="492"/>
    </row>
    <row r="81" spans="1:12" ht="27" customHeight="1" x14ac:dyDescent="0.4">
      <c r="A81" s="109" t="s">
        <v>5</v>
      </c>
      <c r="B81" s="208">
        <f>B28</f>
        <v>86.6</v>
      </c>
    </row>
    <row r="82" spans="1:12" s="14" customFormat="1" ht="27" customHeight="1" x14ac:dyDescent="0.4">
      <c r="A82" s="109" t="s">
        <v>48</v>
      </c>
      <c r="B82" s="111">
        <v>0</v>
      </c>
      <c r="C82" s="483" t="s">
        <v>49</v>
      </c>
      <c r="D82" s="484"/>
      <c r="E82" s="484"/>
      <c r="F82" s="484"/>
      <c r="G82" s="485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86.6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486" t="s">
        <v>110</v>
      </c>
      <c r="D84" s="487"/>
      <c r="E84" s="487"/>
      <c r="F84" s="487"/>
      <c r="G84" s="487"/>
      <c r="H84" s="488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486" t="s">
        <v>111</v>
      </c>
      <c r="D85" s="487"/>
      <c r="E85" s="487"/>
      <c r="F85" s="487"/>
      <c r="G85" s="487"/>
      <c r="H85" s="48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20</v>
      </c>
      <c r="D89" s="209" t="s">
        <v>58</v>
      </c>
      <c r="E89" s="210"/>
      <c r="F89" s="489" t="s">
        <v>59</v>
      </c>
      <c r="G89" s="491"/>
    </row>
    <row r="90" spans="1:12" ht="27" customHeight="1" x14ac:dyDescent="0.4">
      <c r="A90" s="124" t="s">
        <v>60</v>
      </c>
      <c r="B90" s="125">
        <v>10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25</v>
      </c>
      <c r="C91" s="213">
        <v>1</v>
      </c>
      <c r="D91" s="132">
        <v>109871362</v>
      </c>
      <c r="E91" s="133">
        <f>IF(ISBLANK(D91),"-",$D$101/$D$98*D91)</f>
        <v>147088019.95713493</v>
      </c>
      <c r="F91" s="132">
        <v>123993104</v>
      </c>
      <c r="G91" s="134">
        <f>IF(ISBLANK(F91),"-",$D$101/$F$98*F91)</f>
        <v>147467457.59289849</v>
      </c>
      <c r="I91" s="135"/>
    </row>
    <row r="92" spans="1:12" ht="26.25" customHeight="1" x14ac:dyDescent="0.4">
      <c r="A92" s="124" t="s">
        <v>66</v>
      </c>
      <c r="B92" s="125">
        <v>1</v>
      </c>
      <c r="C92" s="197">
        <v>2</v>
      </c>
      <c r="D92" s="137">
        <v>107866182</v>
      </c>
      <c r="E92" s="138">
        <f>IF(ISBLANK(D92),"-",$D$101/$D$98*D92)</f>
        <v>144403626.58575171</v>
      </c>
      <c r="F92" s="137">
        <v>121196562</v>
      </c>
      <c r="G92" s="139">
        <f>IF(ISBLANK(F92),"-",$D$101/$F$98*F92)</f>
        <v>144141474.73185357</v>
      </c>
      <c r="I92" s="493">
        <f>ABS((F96/D96*D95)-F95)/D95</f>
        <v>1.645336331219366E-3</v>
      </c>
    </row>
    <row r="93" spans="1:12" ht="26.25" customHeight="1" x14ac:dyDescent="0.4">
      <c r="A93" s="124" t="s">
        <v>67</v>
      </c>
      <c r="B93" s="125">
        <v>1</v>
      </c>
      <c r="C93" s="197">
        <v>3</v>
      </c>
      <c r="D93" s="137">
        <v>106588385</v>
      </c>
      <c r="E93" s="138">
        <f>IF(ISBLANK(D93),"-",$D$101/$D$98*D93)</f>
        <v>142693002.20451242</v>
      </c>
      <c r="F93" s="137">
        <v>119346421</v>
      </c>
      <c r="G93" s="139">
        <f>IF(ISBLANK(F93),"-",$D$101/$F$98*F93)</f>
        <v>141941065.34893838</v>
      </c>
      <c r="I93" s="493"/>
    </row>
    <row r="94" spans="1:12" ht="27" customHeight="1" x14ac:dyDescent="0.4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6" t="s">
        <v>70</v>
      </c>
      <c r="D95" s="217">
        <f>AVERAGE(D91:D94)</f>
        <v>108108643</v>
      </c>
      <c r="E95" s="148">
        <f>AVERAGE(E91:E94)</f>
        <v>144728216.24913302</v>
      </c>
      <c r="F95" s="218">
        <f>AVERAGE(F91:F94)</f>
        <v>121512029</v>
      </c>
      <c r="G95" s="219">
        <f>AVERAGE(G91:G94)</f>
        <v>144516665.89123014</v>
      </c>
    </row>
    <row r="96" spans="1:12" ht="26.25" customHeight="1" x14ac:dyDescent="0.4">
      <c r="A96" s="124" t="s">
        <v>71</v>
      </c>
      <c r="B96" s="110">
        <v>1</v>
      </c>
      <c r="C96" s="220" t="s">
        <v>112</v>
      </c>
      <c r="D96" s="221">
        <v>23.96</v>
      </c>
      <c r="E96" s="140"/>
      <c r="F96" s="152">
        <v>26.97</v>
      </c>
    </row>
    <row r="97" spans="1:10" ht="26.25" customHeight="1" x14ac:dyDescent="0.4">
      <c r="A97" s="124" t="s">
        <v>73</v>
      </c>
      <c r="B97" s="110">
        <v>1</v>
      </c>
      <c r="C97" s="222" t="s">
        <v>113</v>
      </c>
      <c r="D97" s="223">
        <f>D96*$B$87</f>
        <v>23.96</v>
      </c>
      <c r="E97" s="155"/>
      <c r="F97" s="154">
        <f>F96*$B$87</f>
        <v>26.97</v>
      </c>
    </row>
    <row r="98" spans="1:10" ht="19.5" customHeight="1" x14ac:dyDescent="0.3">
      <c r="A98" s="124" t="s">
        <v>75</v>
      </c>
      <c r="B98" s="224">
        <f>(B97/B96)*(B95/B94)*(B93/B92)*(B91/B90)*B89</f>
        <v>50</v>
      </c>
      <c r="C98" s="222" t="s">
        <v>114</v>
      </c>
      <c r="D98" s="225">
        <f>D97*$B$83/100</f>
        <v>20.749360000000003</v>
      </c>
      <c r="E98" s="158"/>
      <c r="F98" s="157">
        <f>F97*$B$83/100</f>
        <v>23.356019999999997</v>
      </c>
    </row>
    <row r="99" spans="1:10" ht="19.5" customHeight="1" x14ac:dyDescent="0.3">
      <c r="A99" s="494" t="s">
        <v>77</v>
      </c>
      <c r="B99" s="508"/>
      <c r="C99" s="222" t="s">
        <v>115</v>
      </c>
      <c r="D99" s="226">
        <f>D98/$B$98</f>
        <v>0.41498720000000006</v>
      </c>
      <c r="E99" s="158"/>
      <c r="F99" s="161">
        <f>F98/$B$98</f>
        <v>0.46712039999999994</v>
      </c>
      <c r="G99" s="227"/>
      <c r="H99" s="150"/>
    </row>
    <row r="100" spans="1:10" ht="19.5" customHeight="1" x14ac:dyDescent="0.3">
      <c r="A100" s="496"/>
      <c r="B100" s="509"/>
      <c r="C100" s="222" t="s">
        <v>79</v>
      </c>
      <c r="D100" s="228">
        <f>$B$56/$B$116</f>
        <v>0.55555555555555558</v>
      </c>
      <c r="F100" s="166"/>
      <c r="G100" s="229"/>
      <c r="H100" s="150"/>
    </row>
    <row r="101" spans="1:10" ht="18.75" x14ac:dyDescent="0.3">
      <c r="C101" s="222" t="s">
        <v>80</v>
      </c>
      <c r="D101" s="223">
        <f>D100*$B$98</f>
        <v>27.777777777777779</v>
      </c>
      <c r="F101" s="166"/>
      <c r="G101" s="227"/>
      <c r="H101" s="150"/>
    </row>
    <row r="102" spans="1:10" ht="19.5" customHeight="1" x14ac:dyDescent="0.3">
      <c r="C102" s="230" t="s">
        <v>81</v>
      </c>
      <c r="D102" s="231">
        <f>D101/B34</f>
        <v>27.777777777777779</v>
      </c>
      <c r="F102" s="170"/>
      <c r="G102" s="227"/>
      <c r="H102" s="150"/>
      <c r="J102" s="232"/>
    </row>
    <row r="103" spans="1:10" ht="18.75" x14ac:dyDescent="0.3">
      <c r="C103" s="233" t="s">
        <v>116</v>
      </c>
      <c r="D103" s="234">
        <f>AVERAGE(E91:E94,G91:G94)</f>
        <v>144622441.07018158</v>
      </c>
      <c r="F103" s="170"/>
      <c r="G103" s="235"/>
      <c r="H103" s="150"/>
      <c r="J103" s="236"/>
    </row>
    <row r="104" spans="1:10" ht="18.75" x14ac:dyDescent="0.3">
      <c r="C104" s="200" t="s">
        <v>83</v>
      </c>
      <c r="D104" s="237">
        <f>STDEV(E91:E94,G91:G94)/D103</f>
        <v>1.5573851554877694E-2</v>
      </c>
      <c r="F104" s="170"/>
      <c r="G104" s="227"/>
      <c r="H104" s="150"/>
      <c r="J104" s="236"/>
    </row>
    <row r="105" spans="1:10" ht="19.5" customHeight="1" x14ac:dyDescent="0.3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900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 x14ac:dyDescent="0.4">
      <c r="A108" s="124" t="s">
        <v>121</v>
      </c>
      <c r="B108" s="125">
        <v>1</v>
      </c>
      <c r="C108" s="243">
        <v>1</v>
      </c>
      <c r="D108" s="244">
        <v>138578634</v>
      </c>
      <c r="E108" s="275">
        <f t="shared" ref="E108:E113" si="1">IF(ISBLANK(D108),"-",D108/$D$103*$D$100*$B$116)</f>
        <v>479.10487810377691</v>
      </c>
      <c r="F108" s="245">
        <f t="shared" ref="F108:F113" si="2">IF(ISBLANK(D108), "-", E108/$B$56)</f>
        <v>0.95820975620755378</v>
      </c>
    </row>
    <row r="109" spans="1:10" ht="26.25" customHeight="1" x14ac:dyDescent="0.4">
      <c r="A109" s="124" t="s">
        <v>94</v>
      </c>
      <c r="B109" s="125">
        <v>1</v>
      </c>
      <c r="C109" s="243">
        <v>2</v>
      </c>
      <c r="D109" s="244">
        <v>141712556</v>
      </c>
      <c r="E109" s="276">
        <f t="shared" si="1"/>
        <v>489.93971803874649</v>
      </c>
      <c r="F109" s="246">
        <f t="shared" si="2"/>
        <v>0.97987943607749295</v>
      </c>
    </row>
    <row r="110" spans="1:10" ht="26.25" customHeight="1" x14ac:dyDescent="0.4">
      <c r="A110" s="124" t="s">
        <v>95</v>
      </c>
      <c r="B110" s="125">
        <v>1</v>
      </c>
      <c r="C110" s="243">
        <v>3</v>
      </c>
      <c r="D110" s="244">
        <v>132169931</v>
      </c>
      <c r="E110" s="276">
        <f t="shared" si="1"/>
        <v>456.9482094962749</v>
      </c>
      <c r="F110" s="246">
        <f t="shared" si="2"/>
        <v>0.91389641899254981</v>
      </c>
    </row>
    <row r="111" spans="1:10" ht="26.25" customHeight="1" x14ac:dyDescent="0.4">
      <c r="A111" s="124" t="s">
        <v>96</v>
      </c>
      <c r="B111" s="125">
        <v>1</v>
      </c>
      <c r="C111" s="243">
        <v>4</v>
      </c>
      <c r="D111" s="244">
        <v>141648864</v>
      </c>
      <c r="E111" s="276">
        <f t="shared" si="1"/>
        <v>489.71951708124402</v>
      </c>
      <c r="F111" s="246">
        <f t="shared" si="2"/>
        <v>0.97943903416248801</v>
      </c>
    </row>
    <row r="112" spans="1:10" ht="26.25" customHeight="1" x14ac:dyDescent="0.4">
      <c r="A112" s="124" t="s">
        <v>97</v>
      </c>
      <c r="B112" s="125">
        <v>1</v>
      </c>
      <c r="C112" s="243">
        <v>5</v>
      </c>
      <c r="D112" s="244">
        <v>133003914</v>
      </c>
      <c r="E112" s="276">
        <f t="shared" si="1"/>
        <v>459.831520667863</v>
      </c>
      <c r="F112" s="246">
        <f t="shared" si="2"/>
        <v>0.91966304133572596</v>
      </c>
    </row>
    <row r="113" spans="1:10" ht="26.25" customHeight="1" x14ac:dyDescent="0.4">
      <c r="A113" s="124" t="s">
        <v>99</v>
      </c>
      <c r="B113" s="125">
        <v>1</v>
      </c>
      <c r="C113" s="247">
        <v>6</v>
      </c>
      <c r="D113" s="248">
        <v>138909374</v>
      </c>
      <c r="E113" s="277">
        <f t="shared" si="1"/>
        <v>480.24833826650331</v>
      </c>
      <c r="F113" s="249">
        <f t="shared" si="2"/>
        <v>0.96049667653300663</v>
      </c>
    </row>
    <row r="114" spans="1:10" ht="26.25" customHeight="1" x14ac:dyDescent="0.4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101</v>
      </c>
      <c r="B115" s="125">
        <v>1</v>
      </c>
      <c r="C115" s="243"/>
      <c r="D115" s="251" t="s">
        <v>70</v>
      </c>
      <c r="E115" s="279">
        <f>AVERAGE(E108:E113)</f>
        <v>475.96536360906811</v>
      </c>
      <c r="F115" s="252">
        <f>AVERAGE(F108:F113)</f>
        <v>0.95193072721813621</v>
      </c>
    </row>
    <row r="116" spans="1:10" ht="27" customHeight="1" x14ac:dyDescent="0.4">
      <c r="A116" s="124" t="s">
        <v>102</v>
      </c>
      <c r="B116" s="156">
        <f>(B115/B114)*(B113/B112)*(B111/B110)*(B109/B108)*B107</f>
        <v>900</v>
      </c>
      <c r="C116" s="253"/>
      <c r="D116" s="216" t="s">
        <v>83</v>
      </c>
      <c r="E116" s="254">
        <f>STDEV(E108:E113)/E115</f>
        <v>3.0222373436333463E-2</v>
      </c>
      <c r="F116" s="254">
        <f>STDEV(F108:F113)/F115</f>
        <v>3.0222373436333452E-2</v>
      </c>
      <c r="I116" s="98"/>
    </row>
    <row r="117" spans="1:10" ht="27" customHeight="1" x14ac:dyDescent="0.4">
      <c r="A117" s="494" t="s">
        <v>77</v>
      </c>
      <c r="B117" s="495"/>
      <c r="C117" s="255"/>
      <c r="D117" s="256" t="s">
        <v>19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96"/>
      <c r="B118" s="497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105</v>
      </c>
      <c r="B120" s="204" t="s">
        <v>122</v>
      </c>
      <c r="C120" s="506" t="str">
        <f>B20</f>
        <v>Amoxicillin &amp; Clavulanate Potassium</v>
      </c>
      <c r="D120" s="506"/>
      <c r="E120" s="205" t="s">
        <v>123</v>
      </c>
      <c r="F120" s="205"/>
      <c r="G120" s="206">
        <f>F115</f>
        <v>0.95193072721813621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507" t="s">
        <v>25</v>
      </c>
      <c r="C122" s="507"/>
      <c r="E122" s="211" t="s">
        <v>26</v>
      </c>
      <c r="F122" s="260"/>
      <c r="G122" s="507" t="s">
        <v>27</v>
      </c>
      <c r="H122" s="507"/>
    </row>
    <row r="123" spans="1:10" ht="69.95" customHeight="1" x14ac:dyDescent="0.3">
      <c r="A123" s="261" t="s">
        <v>28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29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79" zoomScale="50" zoomScaleNormal="40" zoomScalePageLayoutView="50" workbookViewId="0">
      <selection activeCell="B29" sqref="B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4" t="s">
        <v>44</v>
      </c>
      <c r="B1" s="504"/>
      <c r="C1" s="504"/>
      <c r="D1" s="504"/>
      <c r="E1" s="504"/>
      <c r="F1" s="504"/>
      <c r="G1" s="504"/>
      <c r="H1" s="504"/>
      <c r="I1" s="504"/>
    </row>
    <row r="2" spans="1:9" ht="18.75" customHeight="1" x14ac:dyDescent="0.25">
      <c r="A2" s="504"/>
      <c r="B2" s="504"/>
      <c r="C2" s="504"/>
      <c r="D2" s="504"/>
      <c r="E2" s="504"/>
      <c r="F2" s="504"/>
      <c r="G2" s="504"/>
      <c r="H2" s="504"/>
      <c r="I2" s="504"/>
    </row>
    <row r="3" spans="1:9" ht="18.75" customHeight="1" x14ac:dyDescent="0.25">
      <c r="A3" s="504"/>
      <c r="B3" s="504"/>
      <c r="C3" s="504"/>
      <c r="D3" s="504"/>
      <c r="E3" s="504"/>
      <c r="F3" s="504"/>
      <c r="G3" s="504"/>
      <c r="H3" s="504"/>
      <c r="I3" s="504"/>
    </row>
    <row r="4" spans="1:9" ht="18.75" customHeight="1" x14ac:dyDescent="0.25">
      <c r="A4" s="504"/>
      <c r="B4" s="504"/>
      <c r="C4" s="504"/>
      <c r="D4" s="504"/>
      <c r="E4" s="504"/>
      <c r="F4" s="504"/>
      <c r="G4" s="504"/>
      <c r="H4" s="504"/>
      <c r="I4" s="504"/>
    </row>
    <row r="5" spans="1:9" ht="18.75" customHeight="1" x14ac:dyDescent="0.25">
      <c r="A5" s="504"/>
      <c r="B5" s="504"/>
      <c r="C5" s="504"/>
      <c r="D5" s="504"/>
      <c r="E5" s="504"/>
      <c r="F5" s="504"/>
      <c r="G5" s="504"/>
      <c r="H5" s="504"/>
      <c r="I5" s="504"/>
    </row>
    <row r="6" spans="1:9" ht="18.75" customHeight="1" x14ac:dyDescent="0.25">
      <c r="A6" s="504"/>
      <c r="B6" s="504"/>
      <c r="C6" s="504"/>
      <c r="D6" s="504"/>
      <c r="E6" s="504"/>
      <c r="F6" s="504"/>
      <c r="G6" s="504"/>
      <c r="H6" s="504"/>
      <c r="I6" s="504"/>
    </row>
    <row r="7" spans="1:9" ht="18.75" customHeight="1" x14ac:dyDescent="0.25">
      <c r="A7" s="504"/>
      <c r="B7" s="504"/>
      <c r="C7" s="504"/>
      <c r="D7" s="504"/>
      <c r="E7" s="504"/>
      <c r="F7" s="504"/>
      <c r="G7" s="504"/>
      <c r="H7" s="504"/>
      <c r="I7" s="504"/>
    </row>
    <row r="8" spans="1:9" x14ac:dyDescent="0.25">
      <c r="A8" s="505" t="s">
        <v>45</v>
      </c>
      <c r="B8" s="505"/>
      <c r="C8" s="505"/>
      <c r="D8" s="505"/>
      <c r="E8" s="505"/>
      <c r="F8" s="505"/>
      <c r="G8" s="505"/>
      <c r="H8" s="505"/>
      <c r="I8" s="505"/>
    </row>
    <row r="9" spans="1:9" x14ac:dyDescent="0.25">
      <c r="A9" s="505"/>
      <c r="B9" s="505"/>
      <c r="C9" s="505"/>
      <c r="D9" s="505"/>
      <c r="E9" s="505"/>
      <c r="F9" s="505"/>
      <c r="G9" s="505"/>
      <c r="H9" s="505"/>
      <c r="I9" s="505"/>
    </row>
    <row r="10" spans="1:9" x14ac:dyDescent="0.25">
      <c r="A10" s="505"/>
      <c r="B10" s="505"/>
      <c r="C10" s="505"/>
      <c r="D10" s="505"/>
      <c r="E10" s="505"/>
      <c r="F10" s="505"/>
      <c r="G10" s="505"/>
      <c r="H10" s="505"/>
      <c r="I10" s="505"/>
    </row>
    <row r="11" spans="1:9" x14ac:dyDescent="0.25">
      <c r="A11" s="505"/>
      <c r="B11" s="505"/>
      <c r="C11" s="505"/>
      <c r="D11" s="505"/>
      <c r="E11" s="505"/>
      <c r="F11" s="505"/>
      <c r="G11" s="505"/>
      <c r="H11" s="505"/>
      <c r="I11" s="505"/>
    </row>
    <row r="12" spans="1:9" x14ac:dyDescent="0.25">
      <c r="A12" s="505"/>
      <c r="B12" s="505"/>
      <c r="C12" s="505"/>
      <c r="D12" s="505"/>
      <c r="E12" s="505"/>
      <c r="F12" s="505"/>
      <c r="G12" s="505"/>
      <c r="H12" s="505"/>
      <c r="I12" s="505"/>
    </row>
    <row r="13" spans="1:9" x14ac:dyDescent="0.25">
      <c r="A13" s="505"/>
      <c r="B13" s="505"/>
      <c r="C13" s="505"/>
      <c r="D13" s="505"/>
      <c r="E13" s="505"/>
      <c r="F13" s="505"/>
      <c r="G13" s="505"/>
      <c r="H13" s="505"/>
      <c r="I13" s="505"/>
    </row>
    <row r="14" spans="1:9" x14ac:dyDescent="0.25">
      <c r="A14" s="505"/>
      <c r="B14" s="505"/>
      <c r="C14" s="505"/>
      <c r="D14" s="505"/>
      <c r="E14" s="505"/>
      <c r="F14" s="505"/>
      <c r="G14" s="505"/>
      <c r="H14" s="505"/>
      <c r="I14" s="505"/>
    </row>
    <row r="15" spans="1:9" ht="19.5" customHeight="1" x14ac:dyDescent="0.3">
      <c r="A15" s="281"/>
    </row>
    <row r="16" spans="1:9" ht="19.5" customHeight="1" x14ac:dyDescent="0.3">
      <c r="A16" s="477" t="s">
        <v>30</v>
      </c>
      <c r="B16" s="478"/>
      <c r="C16" s="478"/>
      <c r="D16" s="478"/>
      <c r="E16" s="478"/>
      <c r="F16" s="478"/>
      <c r="G16" s="478"/>
      <c r="H16" s="479"/>
    </row>
    <row r="17" spans="1:14" ht="20.25" customHeight="1" x14ac:dyDescent="0.25">
      <c r="A17" s="480" t="s">
        <v>46</v>
      </c>
      <c r="B17" s="480"/>
      <c r="C17" s="480"/>
      <c r="D17" s="480"/>
      <c r="E17" s="480"/>
      <c r="F17" s="480"/>
      <c r="G17" s="480"/>
      <c r="H17" s="480"/>
    </row>
    <row r="18" spans="1:14" ht="26.25" customHeight="1" x14ac:dyDescent="0.4">
      <c r="A18" s="283" t="s">
        <v>32</v>
      </c>
      <c r="B18" s="476" t="s">
        <v>4</v>
      </c>
      <c r="C18" s="476"/>
      <c r="D18" s="450"/>
      <c r="E18" s="284"/>
      <c r="F18" s="285"/>
      <c r="G18" s="285"/>
      <c r="H18" s="285"/>
    </row>
    <row r="19" spans="1:14" ht="26.25" customHeight="1" x14ac:dyDescent="0.4">
      <c r="A19" s="283" t="s">
        <v>33</v>
      </c>
      <c r="B19" s="286" t="s">
        <v>6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34</v>
      </c>
      <c r="B20" s="481" t="s">
        <v>8</v>
      </c>
      <c r="C20" s="481"/>
      <c r="D20" s="285"/>
      <c r="E20" s="285"/>
      <c r="F20" s="285"/>
      <c r="G20" s="285"/>
      <c r="H20" s="285"/>
    </row>
    <row r="21" spans="1:14" ht="26.25" customHeight="1" x14ac:dyDescent="0.4">
      <c r="A21" s="283" t="s">
        <v>35</v>
      </c>
      <c r="B21" s="481" t="s">
        <v>10</v>
      </c>
      <c r="C21" s="481"/>
      <c r="D21" s="481"/>
      <c r="E21" s="481"/>
      <c r="F21" s="481"/>
      <c r="G21" s="481"/>
      <c r="H21" s="481"/>
      <c r="I21" s="287"/>
    </row>
    <row r="22" spans="1:14" ht="26.25" customHeight="1" x14ac:dyDescent="0.4">
      <c r="A22" s="283" t="s">
        <v>36</v>
      </c>
      <c r="B22" s="288" t="s">
        <v>11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37</v>
      </c>
      <c r="B23" s="288"/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3</v>
      </c>
      <c r="B26" s="476" t="s">
        <v>125</v>
      </c>
      <c r="C26" s="476"/>
    </row>
    <row r="27" spans="1:14" ht="26.25" customHeight="1" x14ac:dyDescent="0.4">
      <c r="A27" s="292" t="s">
        <v>47</v>
      </c>
      <c r="B27" s="482"/>
      <c r="C27" s="482"/>
    </row>
    <row r="28" spans="1:14" ht="27" customHeight="1" x14ac:dyDescent="0.4">
      <c r="A28" s="292" t="s">
        <v>5</v>
      </c>
      <c r="B28" s="293">
        <v>96.4</v>
      </c>
    </row>
    <row r="29" spans="1:14" s="14" customFormat="1" ht="27" customHeight="1" x14ac:dyDescent="0.4">
      <c r="A29" s="292" t="s">
        <v>48</v>
      </c>
      <c r="B29" s="294"/>
      <c r="C29" s="483" t="s">
        <v>49</v>
      </c>
      <c r="D29" s="484"/>
      <c r="E29" s="484"/>
      <c r="F29" s="484"/>
      <c r="G29" s="485"/>
      <c r="I29" s="295"/>
      <c r="J29" s="295"/>
      <c r="K29" s="295"/>
      <c r="L29" s="295"/>
    </row>
    <row r="30" spans="1:14" s="14" customFormat="1" ht="19.5" customHeight="1" x14ac:dyDescent="0.3">
      <c r="A30" s="292" t="s">
        <v>50</v>
      </c>
      <c r="B30" s="296">
        <f>B28-B29</f>
        <v>96.4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51</v>
      </c>
      <c r="B31" s="299">
        <v>1</v>
      </c>
      <c r="C31" s="486" t="s">
        <v>52</v>
      </c>
      <c r="D31" s="487"/>
      <c r="E31" s="487"/>
      <c r="F31" s="487"/>
      <c r="G31" s="487"/>
      <c r="H31" s="488"/>
      <c r="I31" s="295"/>
      <c r="J31" s="295"/>
      <c r="K31" s="295"/>
      <c r="L31" s="295"/>
    </row>
    <row r="32" spans="1:14" s="14" customFormat="1" ht="27" customHeight="1" x14ac:dyDescent="0.4">
      <c r="A32" s="292" t="s">
        <v>53</v>
      </c>
      <c r="B32" s="299">
        <v>1</v>
      </c>
      <c r="C32" s="486" t="s">
        <v>54</v>
      </c>
      <c r="D32" s="487"/>
      <c r="E32" s="487"/>
      <c r="F32" s="487"/>
      <c r="G32" s="487"/>
      <c r="H32" s="488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55</v>
      </c>
      <c r="B34" s="304">
        <f>B31/B32</f>
        <v>1</v>
      </c>
      <c r="C34" s="282" t="s">
        <v>56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57</v>
      </c>
      <c r="B36" s="306">
        <v>20</v>
      </c>
      <c r="C36" s="282"/>
      <c r="D36" s="489" t="s">
        <v>58</v>
      </c>
      <c r="E36" s="490"/>
      <c r="F36" s="489" t="s">
        <v>59</v>
      </c>
      <c r="G36" s="491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60</v>
      </c>
      <c r="B37" s="308">
        <v>3</v>
      </c>
      <c r="C37" s="309" t="s">
        <v>61</v>
      </c>
      <c r="D37" s="310" t="s">
        <v>62</v>
      </c>
      <c r="E37" s="311" t="s">
        <v>63</v>
      </c>
      <c r="F37" s="310" t="s">
        <v>62</v>
      </c>
      <c r="G37" s="312" t="s">
        <v>63</v>
      </c>
      <c r="I37" s="313" t="s">
        <v>64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65</v>
      </c>
      <c r="B38" s="308">
        <v>25</v>
      </c>
      <c r="C38" s="314">
        <v>1</v>
      </c>
      <c r="D38" s="315">
        <v>18619364</v>
      </c>
      <c r="E38" s="316">
        <f>IF(ISBLANK(D38),"-",$D$48/$D$45*D38)</f>
        <v>19290001.743825994</v>
      </c>
      <c r="F38" s="315">
        <v>19696819</v>
      </c>
      <c r="G38" s="317">
        <f>IF(ISBLANK(F38),"-",$D$48/$F$45*F38)</f>
        <v>19348849.294291463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66</v>
      </c>
      <c r="B39" s="308">
        <v>1</v>
      </c>
      <c r="C39" s="319">
        <v>2</v>
      </c>
      <c r="D39" s="320">
        <v>18623821</v>
      </c>
      <c r="E39" s="321">
        <f>IF(ISBLANK(D39),"-",$D$48/$D$45*D39)</f>
        <v>19294619.277366467</v>
      </c>
      <c r="F39" s="320">
        <v>19576297</v>
      </c>
      <c r="G39" s="322">
        <f>IF(ISBLANK(F39),"-",$D$48/$F$45*F39)</f>
        <v>19230456.470828619</v>
      </c>
      <c r="I39" s="493">
        <f>ABS((F43/D43*D42)-F42)/D42</f>
        <v>7.5945714155624131E-3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67</v>
      </c>
      <c r="B40" s="308">
        <v>1</v>
      </c>
      <c r="C40" s="319">
        <v>3</v>
      </c>
      <c r="D40" s="320">
        <v>18863143</v>
      </c>
      <c r="E40" s="321">
        <f>IF(ISBLANK(D40),"-",$D$48/$D$45*D40)</f>
        <v>19542561.247743968</v>
      </c>
      <c r="F40" s="320">
        <v>19473322</v>
      </c>
      <c r="G40" s="322">
        <f>IF(ISBLANK(F40),"-",$D$48/$F$45*F40)</f>
        <v>19129300.656984784</v>
      </c>
      <c r="I40" s="493"/>
      <c r="L40" s="300"/>
      <c r="M40" s="300"/>
      <c r="N40" s="323"/>
    </row>
    <row r="41" spans="1:14" ht="27" customHeight="1" x14ac:dyDescent="0.4">
      <c r="A41" s="307" t="s">
        <v>68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69</v>
      </c>
      <c r="B42" s="308">
        <v>1</v>
      </c>
      <c r="C42" s="329" t="s">
        <v>70</v>
      </c>
      <c r="D42" s="330">
        <f>AVERAGE(D38:D41)</f>
        <v>18702109.333333332</v>
      </c>
      <c r="E42" s="331">
        <f>AVERAGE(E38:E41)</f>
        <v>19375727.422978807</v>
      </c>
      <c r="F42" s="330">
        <f>AVERAGE(F38:F41)</f>
        <v>19582146</v>
      </c>
      <c r="G42" s="332">
        <f>AVERAGE(G38:G41)</f>
        <v>19236202.140701622</v>
      </c>
      <c r="H42" s="333"/>
    </row>
    <row r="43" spans="1:14" ht="26.25" customHeight="1" x14ac:dyDescent="0.4">
      <c r="A43" s="307" t="s">
        <v>71</v>
      </c>
      <c r="B43" s="308">
        <v>1</v>
      </c>
      <c r="C43" s="334" t="s">
        <v>72</v>
      </c>
      <c r="D43" s="335">
        <v>20.86</v>
      </c>
      <c r="E43" s="323"/>
      <c r="F43" s="335">
        <v>22</v>
      </c>
      <c r="H43" s="333"/>
    </row>
    <row r="44" spans="1:14" ht="26.25" customHeight="1" x14ac:dyDescent="0.4">
      <c r="A44" s="307" t="s">
        <v>73</v>
      </c>
      <c r="B44" s="308">
        <v>1</v>
      </c>
      <c r="C44" s="336" t="s">
        <v>74</v>
      </c>
      <c r="D44" s="337">
        <f>D43*$B$34</f>
        <v>20.86</v>
      </c>
      <c r="E44" s="338"/>
      <c r="F44" s="337">
        <f>F43*$B$34</f>
        <v>22</v>
      </c>
      <c r="H44" s="333"/>
    </row>
    <row r="45" spans="1:14" ht="19.5" customHeight="1" x14ac:dyDescent="0.3">
      <c r="A45" s="307" t="s">
        <v>75</v>
      </c>
      <c r="B45" s="339">
        <f>(B44/B43)*(B42/B41)*(B40/B39)*(B38/B37)*B36</f>
        <v>166.66666666666669</v>
      </c>
      <c r="C45" s="336" t="s">
        <v>76</v>
      </c>
      <c r="D45" s="340">
        <f>D44*$B$30/100</f>
        <v>20.10904</v>
      </c>
      <c r="E45" s="341"/>
      <c r="F45" s="340">
        <f>F44*$B$30/100</f>
        <v>21.208000000000002</v>
      </c>
      <c r="H45" s="333"/>
    </row>
    <row r="46" spans="1:14" ht="19.5" customHeight="1" x14ac:dyDescent="0.3">
      <c r="A46" s="494" t="s">
        <v>77</v>
      </c>
      <c r="B46" s="495"/>
      <c r="C46" s="336" t="s">
        <v>78</v>
      </c>
      <c r="D46" s="342">
        <f>D45/$B$45</f>
        <v>0.12065423999999998</v>
      </c>
      <c r="E46" s="343"/>
      <c r="F46" s="344">
        <f>F45/$B$45</f>
        <v>0.127248</v>
      </c>
      <c r="H46" s="333"/>
    </row>
    <row r="47" spans="1:14" ht="27" customHeight="1" x14ac:dyDescent="0.4">
      <c r="A47" s="496"/>
      <c r="B47" s="497"/>
      <c r="C47" s="345" t="s">
        <v>79</v>
      </c>
      <c r="D47" s="346">
        <v>0.125</v>
      </c>
      <c r="E47" s="347"/>
      <c r="F47" s="343"/>
      <c r="H47" s="333"/>
    </row>
    <row r="48" spans="1:14" ht="18.75" x14ac:dyDescent="0.3">
      <c r="C48" s="348" t="s">
        <v>80</v>
      </c>
      <c r="D48" s="340">
        <f>D47*$B$45</f>
        <v>20.833333333333336</v>
      </c>
      <c r="F48" s="349"/>
      <c r="H48" s="333"/>
    </row>
    <row r="49" spans="1:12" ht="19.5" customHeight="1" x14ac:dyDescent="0.3">
      <c r="C49" s="350" t="s">
        <v>81</v>
      </c>
      <c r="D49" s="351">
        <f>D48/B34</f>
        <v>20.833333333333336</v>
      </c>
      <c r="F49" s="349"/>
      <c r="H49" s="333"/>
    </row>
    <row r="50" spans="1:12" ht="18.75" x14ac:dyDescent="0.3">
      <c r="C50" s="305" t="s">
        <v>82</v>
      </c>
      <c r="D50" s="352">
        <f>AVERAGE(E38:E41,G38:G41)</f>
        <v>19305964.781840216</v>
      </c>
      <c r="F50" s="353"/>
      <c r="H50" s="333"/>
    </row>
    <row r="51" spans="1:12" ht="18.75" x14ac:dyDescent="0.3">
      <c r="C51" s="307" t="s">
        <v>83</v>
      </c>
      <c r="D51" s="354">
        <f>STDEV(E38:E41,G38:G41)/D50</f>
        <v>7.144003549121529E-3</v>
      </c>
      <c r="F51" s="353"/>
      <c r="H51" s="333"/>
    </row>
    <row r="52" spans="1:12" ht="19.5" customHeight="1" x14ac:dyDescent="0.3">
      <c r="C52" s="355" t="s">
        <v>19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84</v>
      </c>
    </row>
    <row r="55" spans="1:12" ht="18.75" x14ac:dyDescent="0.3">
      <c r="A55" s="282" t="s">
        <v>85</v>
      </c>
      <c r="B55" s="359" t="str">
        <f>B21</f>
        <v>Each fil coated tablet contains: Amoxicillin Trihydrate equivalent to Amoxicillin 500mg
Clavulanate Potassium equivalent to Clavulanic Acid 125MG</v>
      </c>
    </row>
    <row r="56" spans="1:12" ht="26.25" customHeight="1" x14ac:dyDescent="0.4">
      <c r="A56" s="360" t="s">
        <v>86</v>
      </c>
      <c r="B56" s="361">
        <v>125</v>
      </c>
      <c r="C56" s="282" t="str">
        <f>B20</f>
        <v>Amoxicillin &amp; Clavulanate Potassium</v>
      </c>
      <c r="H56" s="362"/>
    </row>
    <row r="57" spans="1:12" ht="18.75" x14ac:dyDescent="0.3">
      <c r="A57" s="359" t="s">
        <v>87</v>
      </c>
      <c r="B57" s="451">
        <f>Uniformity!C46</f>
        <v>1094.3525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88</v>
      </c>
      <c r="B59" s="306">
        <v>100</v>
      </c>
      <c r="C59" s="282"/>
      <c r="D59" s="363" t="s">
        <v>89</v>
      </c>
      <c r="E59" s="364" t="s">
        <v>61</v>
      </c>
      <c r="F59" s="364" t="s">
        <v>62</v>
      </c>
      <c r="G59" s="364" t="s">
        <v>90</v>
      </c>
      <c r="H59" s="309" t="s">
        <v>91</v>
      </c>
      <c r="L59" s="295"/>
    </row>
    <row r="60" spans="1:12" s="14" customFormat="1" ht="26.25" customHeight="1" x14ac:dyDescent="0.4">
      <c r="A60" s="307" t="s">
        <v>92</v>
      </c>
      <c r="B60" s="308">
        <v>1</v>
      </c>
      <c r="C60" s="498" t="s">
        <v>93</v>
      </c>
      <c r="D60" s="501">
        <v>131.29</v>
      </c>
      <c r="E60" s="365">
        <v>1</v>
      </c>
      <c r="F60" s="366">
        <v>24431026</v>
      </c>
      <c r="G60" s="452">
        <f>IF(ISBLANK(F60),"-",(F60/$D$50*$D$47*$B$68)*($B$57/$D$60))</f>
        <v>131.85171873219267</v>
      </c>
      <c r="H60" s="367">
        <f t="shared" ref="H60:H71" si="0">IF(ISBLANK(F60),"-",G60/$B$56)</f>
        <v>1.0548137498575414</v>
      </c>
      <c r="L60" s="295"/>
    </row>
    <row r="61" spans="1:12" s="14" customFormat="1" ht="26.25" customHeight="1" x14ac:dyDescent="0.4">
      <c r="A61" s="307" t="s">
        <v>94</v>
      </c>
      <c r="B61" s="308">
        <v>1</v>
      </c>
      <c r="C61" s="499"/>
      <c r="D61" s="502"/>
      <c r="E61" s="368">
        <v>2</v>
      </c>
      <c r="F61" s="320">
        <v>24459989</v>
      </c>
      <c r="G61" s="453">
        <f>IF(ISBLANK(F61),"-",(F61/$D$50*$D$47*$B$68)*($B$57/$D$60))</f>
        <v>132.00802904554752</v>
      </c>
      <c r="H61" s="369">
        <f t="shared" si="0"/>
        <v>1.0560642323643801</v>
      </c>
      <c r="L61" s="295"/>
    </row>
    <row r="62" spans="1:12" s="14" customFormat="1" ht="26.25" customHeight="1" x14ac:dyDescent="0.4">
      <c r="A62" s="307" t="s">
        <v>95</v>
      </c>
      <c r="B62" s="308">
        <v>1</v>
      </c>
      <c r="C62" s="499"/>
      <c r="D62" s="502"/>
      <c r="E62" s="368">
        <v>3</v>
      </c>
      <c r="F62" s="370">
        <v>24530268</v>
      </c>
      <c r="G62" s="453">
        <f>IF(ISBLANK(F62),"-",(F62/$D$50*$D$47*$B$68)*($B$57/$D$60))</f>
        <v>132.38731753473252</v>
      </c>
      <c r="H62" s="369">
        <f t="shared" si="0"/>
        <v>1.0590985402778601</v>
      </c>
      <c r="L62" s="295"/>
    </row>
    <row r="63" spans="1:12" ht="27" customHeight="1" x14ac:dyDescent="0.4">
      <c r="A63" s="307" t="s">
        <v>96</v>
      </c>
      <c r="B63" s="308">
        <v>1</v>
      </c>
      <c r="C63" s="500"/>
      <c r="D63" s="503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97</v>
      </c>
      <c r="B64" s="308">
        <v>1</v>
      </c>
      <c r="C64" s="498" t="s">
        <v>98</v>
      </c>
      <c r="D64" s="501">
        <v>140.57</v>
      </c>
      <c r="E64" s="365">
        <v>1</v>
      </c>
      <c r="F64" s="366">
        <v>25631301</v>
      </c>
      <c r="G64" s="454">
        <f>IF(ISBLANK(F64),"-",(F64/$D$50*$D$47*$B$68)*($B$57/$D$64))</f>
        <v>129.19739102133036</v>
      </c>
      <c r="H64" s="373">
        <f t="shared" si="0"/>
        <v>1.0335791281706428</v>
      </c>
    </row>
    <row r="65" spans="1:8" ht="26.25" customHeight="1" x14ac:dyDescent="0.4">
      <c r="A65" s="307" t="s">
        <v>99</v>
      </c>
      <c r="B65" s="308">
        <v>1</v>
      </c>
      <c r="C65" s="499"/>
      <c r="D65" s="502"/>
      <c r="E65" s="368">
        <v>2</v>
      </c>
      <c r="F65" s="320">
        <v>25608900</v>
      </c>
      <c r="G65" s="455">
        <f>IF(ISBLANK(F65),"-",(F65/$D$50*$D$47*$B$68)*($B$57/$D$64))</f>
        <v>129.08447631769246</v>
      </c>
      <c r="H65" s="374">
        <f t="shared" si="0"/>
        <v>1.0326758105415397</v>
      </c>
    </row>
    <row r="66" spans="1:8" ht="26.25" customHeight="1" x14ac:dyDescent="0.4">
      <c r="A66" s="307" t="s">
        <v>100</v>
      </c>
      <c r="B66" s="308">
        <v>1</v>
      </c>
      <c r="C66" s="499"/>
      <c r="D66" s="502"/>
      <c r="E66" s="368">
        <v>3</v>
      </c>
      <c r="F66" s="320">
        <v>25952006</v>
      </c>
      <c r="G66" s="455">
        <f>IF(ISBLANK(F66),"-",(F66/$D$50*$D$47*$B$68)*($B$57/$D$64))</f>
        <v>130.81393983746324</v>
      </c>
      <c r="H66" s="374">
        <f t="shared" si="0"/>
        <v>1.0465115186997058</v>
      </c>
    </row>
    <row r="67" spans="1:8" ht="27" customHeight="1" x14ac:dyDescent="0.4">
      <c r="A67" s="307" t="s">
        <v>101</v>
      </c>
      <c r="B67" s="308">
        <v>1</v>
      </c>
      <c r="C67" s="500"/>
      <c r="D67" s="503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102</v>
      </c>
      <c r="B68" s="376">
        <f>(B67/B66)*(B65/B64)*(B63/B62)*(B61/B60)*B59</f>
        <v>100</v>
      </c>
      <c r="C68" s="498" t="s">
        <v>103</v>
      </c>
      <c r="D68" s="501">
        <v>127.64</v>
      </c>
      <c r="E68" s="365">
        <v>1</v>
      </c>
      <c r="F68" s="366">
        <v>23105886</v>
      </c>
      <c r="G68" s="454">
        <f>IF(ISBLANK(F68),"-",(F68/$D$50*$D$47*$B$68)*($B$57/$D$68))</f>
        <v>128.26600506529195</v>
      </c>
      <c r="H68" s="369">
        <f t="shared" si="0"/>
        <v>1.0261280405223356</v>
      </c>
    </row>
    <row r="69" spans="1:8" ht="27" customHeight="1" x14ac:dyDescent="0.4">
      <c r="A69" s="355" t="s">
        <v>104</v>
      </c>
      <c r="B69" s="377">
        <f>(D47*B68)/B56*B57</f>
        <v>109.43525</v>
      </c>
      <c r="C69" s="499"/>
      <c r="D69" s="502"/>
      <c r="E69" s="368">
        <v>2</v>
      </c>
      <c r="F69" s="320">
        <v>23411626</v>
      </c>
      <c r="G69" s="455">
        <f>IF(ISBLANK(F69),"-",(F69/$D$50*$D$47*$B$68)*($B$57/$D$68))</f>
        <v>129.96323703417912</v>
      </c>
      <c r="H69" s="369">
        <f t="shared" si="0"/>
        <v>1.0397058962734329</v>
      </c>
    </row>
    <row r="70" spans="1:8" ht="26.25" customHeight="1" x14ac:dyDescent="0.4">
      <c r="A70" s="511" t="s">
        <v>77</v>
      </c>
      <c r="B70" s="512"/>
      <c r="C70" s="499"/>
      <c r="D70" s="502"/>
      <c r="E70" s="368">
        <v>3</v>
      </c>
      <c r="F70" s="320">
        <v>23292963</v>
      </c>
      <c r="G70" s="455">
        <f>IF(ISBLANK(F70),"-",(F70/$D$50*$D$47*$B$68)*($B$57/$D$68))</f>
        <v>129.30451185224658</v>
      </c>
      <c r="H70" s="369">
        <f t="shared" si="0"/>
        <v>1.0344360948179727</v>
      </c>
    </row>
    <row r="71" spans="1:8" ht="27" customHeight="1" x14ac:dyDescent="0.4">
      <c r="A71" s="513"/>
      <c r="B71" s="514"/>
      <c r="C71" s="510"/>
      <c r="D71" s="503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70</v>
      </c>
      <c r="G72" s="461">
        <f>AVERAGE(G60:G71)</f>
        <v>130.31962516007516</v>
      </c>
      <c r="H72" s="382">
        <f>AVERAGE(H60:H71)</f>
        <v>1.0425570012806014</v>
      </c>
    </row>
    <row r="73" spans="1:8" ht="26.25" customHeight="1" x14ac:dyDescent="0.4">
      <c r="C73" s="379"/>
      <c r="D73" s="379"/>
      <c r="E73" s="379"/>
      <c r="F73" s="383" t="s">
        <v>83</v>
      </c>
      <c r="G73" s="457">
        <f>STDEV(G60:G71)/G72</f>
        <v>1.14709421999926E-2</v>
      </c>
      <c r="H73" s="464">
        <f>STDEV(H60:H71)/H72</f>
        <v>1.1470942199992588E-2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19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105</v>
      </c>
      <c r="B76" s="387" t="s">
        <v>106</v>
      </c>
      <c r="C76" s="506" t="str">
        <f>B20</f>
        <v>Amoxicillin &amp; Clavulanate Potassium</v>
      </c>
      <c r="D76" s="506"/>
      <c r="E76" s="388" t="s">
        <v>107</v>
      </c>
      <c r="F76" s="388"/>
      <c r="G76" s="389">
        <f>H72</f>
        <v>1.0425570012806014</v>
      </c>
      <c r="H76" s="390"/>
    </row>
    <row r="77" spans="1:8" ht="18.75" x14ac:dyDescent="0.3">
      <c r="A77" s="290" t="s">
        <v>108</v>
      </c>
      <c r="B77" s="290" t="s">
        <v>109</v>
      </c>
    </row>
    <row r="78" spans="1:8" ht="18.75" x14ac:dyDescent="0.3">
      <c r="A78" s="290"/>
      <c r="B78" s="290"/>
    </row>
    <row r="79" spans="1:8" ht="26.25" customHeight="1" x14ac:dyDescent="0.4">
      <c r="A79" s="291" t="s">
        <v>3</v>
      </c>
      <c r="B79" s="492" t="str">
        <f>B26</f>
        <v>Claculanic acid</v>
      </c>
      <c r="C79" s="492"/>
    </row>
    <row r="80" spans="1:8" ht="26.25" customHeight="1" x14ac:dyDescent="0.4">
      <c r="A80" s="292" t="s">
        <v>47</v>
      </c>
      <c r="B80" s="492">
        <f>B27</f>
        <v>0</v>
      </c>
      <c r="C80" s="492"/>
    </row>
    <row r="81" spans="1:12" ht="27" customHeight="1" x14ac:dyDescent="0.4">
      <c r="A81" s="292" t="s">
        <v>5</v>
      </c>
      <c r="B81" s="391">
        <f>B28</f>
        <v>96.4</v>
      </c>
    </row>
    <row r="82" spans="1:12" s="14" customFormat="1" ht="27" customHeight="1" x14ac:dyDescent="0.4">
      <c r="A82" s="292" t="s">
        <v>48</v>
      </c>
      <c r="B82" s="294">
        <v>0</v>
      </c>
      <c r="C82" s="483" t="s">
        <v>49</v>
      </c>
      <c r="D82" s="484"/>
      <c r="E82" s="484"/>
      <c r="F82" s="484"/>
      <c r="G82" s="485"/>
      <c r="I82" s="295"/>
      <c r="J82" s="295"/>
      <c r="K82" s="295"/>
      <c r="L82" s="295"/>
    </row>
    <row r="83" spans="1:12" s="14" customFormat="1" ht="19.5" customHeight="1" x14ac:dyDescent="0.3">
      <c r="A83" s="292" t="s">
        <v>50</v>
      </c>
      <c r="B83" s="296">
        <f>B81-B82</f>
        <v>96.4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51</v>
      </c>
      <c r="B84" s="299">
        <v>1</v>
      </c>
      <c r="C84" s="486" t="s">
        <v>110</v>
      </c>
      <c r="D84" s="487"/>
      <c r="E84" s="487"/>
      <c r="F84" s="487"/>
      <c r="G84" s="487"/>
      <c r="H84" s="488"/>
      <c r="I84" s="295"/>
      <c r="J84" s="295"/>
      <c r="K84" s="295"/>
      <c r="L84" s="295"/>
    </row>
    <row r="85" spans="1:12" s="14" customFormat="1" ht="27" customHeight="1" x14ac:dyDescent="0.4">
      <c r="A85" s="292" t="s">
        <v>53</v>
      </c>
      <c r="B85" s="299">
        <v>1</v>
      </c>
      <c r="C85" s="486" t="s">
        <v>111</v>
      </c>
      <c r="D85" s="487"/>
      <c r="E85" s="487"/>
      <c r="F85" s="487"/>
      <c r="G85" s="487"/>
      <c r="H85" s="488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55</v>
      </c>
      <c r="B87" s="304">
        <f>B84/B85</f>
        <v>1</v>
      </c>
      <c r="C87" s="282" t="s">
        <v>56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57</v>
      </c>
      <c r="B89" s="306">
        <v>20</v>
      </c>
      <c r="D89" s="392" t="s">
        <v>58</v>
      </c>
      <c r="E89" s="393"/>
      <c r="F89" s="489" t="s">
        <v>59</v>
      </c>
      <c r="G89" s="491"/>
    </row>
    <row r="90" spans="1:12" ht="27" customHeight="1" x14ac:dyDescent="0.4">
      <c r="A90" s="307" t="s">
        <v>60</v>
      </c>
      <c r="B90" s="308">
        <v>3</v>
      </c>
      <c r="C90" s="394" t="s">
        <v>61</v>
      </c>
      <c r="D90" s="310" t="s">
        <v>62</v>
      </c>
      <c r="E90" s="311" t="s">
        <v>63</v>
      </c>
      <c r="F90" s="310" t="s">
        <v>62</v>
      </c>
      <c r="G90" s="395" t="s">
        <v>63</v>
      </c>
      <c r="I90" s="313" t="s">
        <v>64</v>
      </c>
    </row>
    <row r="91" spans="1:12" ht="26.25" customHeight="1" x14ac:dyDescent="0.4">
      <c r="A91" s="307" t="s">
        <v>65</v>
      </c>
      <c r="B91" s="308">
        <v>25</v>
      </c>
      <c r="C91" s="396">
        <v>1</v>
      </c>
      <c r="D91" s="315">
        <v>49622398</v>
      </c>
      <c r="E91" s="316">
        <f>IF(ISBLANK(D91),"-",$D$101/$D$98*D91)</f>
        <v>51582808.839897372</v>
      </c>
      <c r="F91" s="315">
        <v>44495700</v>
      </c>
      <c r="G91" s="317">
        <f>IF(ISBLANK(F91),"-",$D$101/$F$98*F91)</f>
        <v>50661807.800375178</v>
      </c>
      <c r="I91" s="318"/>
    </row>
    <row r="92" spans="1:12" ht="26.25" customHeight="1" x14ac:dyDescent="0.4">
      <c r="A92" s="307" t="s">
        <v>66</v>
      </c>
      <c r="B92" s="308">
        <v>1</v>
      </c>
      <c r="C92" s="380">
        <v>2</v>
      </c>
      <c r="D92" s="320">
        <v>48777801</v>
      </c>
      <c r="E92" s="321">
        <f>IF(ISBLANK(D92),"-",$D$101/$D$98*D92)</f>
        <v>50704844.707697414</v>
      </c>
      <c r="F92" s="320">
        <v>43843421</v>
      </c>
      <c r="G92" s="322">
        <f>IF(ISBLANK(F92),"-",$D$101/$F$98*F92)</f>
        <v>49919137.534928828</v>
      </c>
      <c r="I92" s="493">
        <f>ABS((F96/D96*D95)-F95)/D95</f>
        <v>1.618858991835093E-2</v>
      </c>
    </row>
    <row r="93" spans="1:12" ht="26.25" customHeight="1" x14ac:dyDescent="0.4">
      <c r="A93" s="307" t="s">
        <v>67</v>
      </c>
      <c r="B93" s="308">
        <v>1</v>
      </c>
      <c r="C93" s="380">
        <v>3</v>
      </c>
      <c r="D93" s="320">
        <v>48323247</v>
      </c>
      <c r="E93" s="321">
        <f>IF(ISBLANK(D93),"-",$D$101/$D$98*D93)</f>
        <v>50232332.837363966</v>
      </c>
      <c r="F93" s="320">
        <v>43242234</v>
      </c>
      <c r="G93" s="322">
        <f>IF(ISBLANK(F93),"-",$D$101/$F$98*F93)</f>
        <v>49234639.476777501</v>
      </c>
      <c r="I93" s="493"/>
    </row>
    <row r="94" spans="1:12" ht="27" customHeight="1" x14ac:dyDescent="0.4">
      <c r="A94" s="307" t="s">
        <v>68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69</v>
      </c>
      <c r="B95" s="308">
        <v>1</v>
      </c>
      <c r="C95" s="399" t="s">
        <v>70</v>
      </c>
      <c r="D95" s="400">
        <f>AVERAGE(D91:D94)</f>
        <v>48907815.333333336</v>
      </c>
      <c r="E95" s="331">
        <f>AVERAGE(E91:E94)</f>
        <v>50839995.461652912</v>
      </c>
      <c r="F95" s="401">
        <f>AVERAGE(F91:F94)</f>
        <v>43860451.666666664</v>
      </c>
      <c r="G95" s="402">
        <f>AVERAGE(G91:G94)</f>
        <v>49938528.270693839</v>
      </c>
    </row>
    <row r="96" spans="1:12" ht="26.25" customHeight="1" x14ac:dyDescent="0.4">
      <c r="A96" s="307" t="s">
        <v>71</v>
      </c>
      <c r="B96" s="293">
        <v>1</v>
      </c>
      <c r="C96" s="403" t="s">
        <v>112</v>
      </c>
      <c r="D96" s="404">
        <v>23.1</v>
      </c>
      <c r="E96" s="323"/>
      <c r="F96" s="335">
        <v>21.09</v>
      </c>
    </row>
    <row r="97" spans="1:10" ht="26.25" customHeight="1" x14ac:dyDescent="0.4">
      <c r="A97" s="307" t="s">
        <v>73</v>
      </c>
      <c r="B97" s="293">
        <v>1</v>
      </c>
      <c r="C97" s="405" t="s">
        <v>113</v>
      </c>
      <c r="D97" s="406">
        <f>D96*$B$87</f>
        <v>23.1</v>
      </c>
      <c r="E97" s="338"/>
      <c r="F97" s="337">
        <f>F96*$B$87</f>
        <v>21.09</v>
      </c>
    </row>
    <row r="98" spans="1:10" ht="19.5" customHeight="1" x14ac:dyDescent="0.3">
      <c r="A98" s="307" t="s">
        <v>75</v>
      </c>
      <c r="B98" s="407">
        <f>(B97/B96)*(B95/B94)*(B93/B92)*(B91/B90)*B89</f>
        <v>166.66666666666669</v>
      </c>
      <c r="C98" s="405" t="s">
        <v>114</v>
      </c>
      <c r="D98" s="408">
        <f>D97*$B$83/100</f>
        <v>22.2684</v>
      </c>
      <c r="E98" s="341"/>
      <c r="F98" s="340">
        <f>F97*$B$83/100</f>
        <v>20.330760000000001</v>
      </c>
    </row>
    <row r="99" spans="1:10" ht="19.5" customHeight="1" x14ac:dyDescent="0.3">
      <c r="A99" s="494" t="s">
        <v>77</v>
      </c>
      <c r="B99" s="508"/>
      <c r="C99" s="405" t="s">
        <v>115</v>
      </c>
      <c r="D99" s="409">
        <f>D98/$B$98</f>
        <v>0.13361039999999999</v>
      </c>
      <c r="E99" s="341"/>
      <c r="F99" s="344">
        <f>F98/$B$98</f>
        <v>0.12198455999999999</v>
      </c>
      <c r="G99" s="410"/>
      <c r="H99" s="333"/>
    </row>
    <row r="100" spans="1:10" ht="19.5" customHeight="1" x14ac:dyDescent="0.3">
      <c r="A100" s="496"/>
      <c r="B100" s="509"/>
      <c r="C100" s="405" t="s">
        <v>79</v>
      </c>
      <c r="D100" s="411">
        <f>$B$56/$B$116</f>
        <v>0.1388888888888889</v>
      </c>
      <c r="F100" s="349"/>
      <c r="G100" s="412"/>
      <c r="H100" s="333"/>
    </row>
    <row r="101" spans="1:10" ht="18.75" x14ac:dyDescent="0.3">
      <c r="C101" s="405" t="s">
        <v>80</v>
      </c>
      <c r="D101" s="406">
        <f>D100*$B$98</f>
        <v>23.148148148148152</v>
      </c>
      <c r="F101" s="349"/>
      <c r="G101" s="410"/>
      <c r="H101" s="333"/>
    </row>
    <row r="102" spans="1:10" ht="19.5" customHeight="1" x14ac:dyDescent="0.3">
      <c r="C102" s="413" t="s">
        <v>81</v>
      </c>
      <c r="D102" s="414">
        <f>D101/B34</f>
        <v>23.148148148148152</v>
      </c>
      <c r="F102" s="353"/>
      <c r="G102" s="410"/>
      <c r="H102" s="333"/>
      <c r="J102" s="415"/>
    </row>
    <row r="103" spans="1:10" ht="18.75" x14ac:dyDescent="0.3">
      <c r="C103" s="416" t="s">
        <v>116</v>
      </c>
      <c r="D103" s="417">
        <f>AVERAGE(E91:E94,G91:G94)</f>
        <v>50389261.866173379</v>
      </c>
      <c r="F103" s="353"/>
      <c r="G103" s="418"/>
      <c r="H103" s="333"/>
      <c r="J103" s="419"/>
    </row>
    <row r="104" spans="1:10" ht="18.75" x14ac:dyDescent="0.3">
      <c r="C104" s="383" t="s">
        <v>83</v>
      </c>
      <c r="D104" s="420">
        <f>STDEV(E91:E94,G91:G94)/D103</f>
        <v>1.5819799094798179E-2</v>
      </c>
      <c r="F104" s="353"/>
      <c r="G104" s="410"/>
      <c r="H104" s="333"/>
      <c r="J104" s="419"/>
    </row>
    <row r="105" spans="1:10" ht="19.5" customHeight="1" x14ac:dyDescent="0.3">
      <c r="C105" s="385" t="s">
        <v>19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117</v>
      </c>
      <c r="B107" s="306">
        <v>900</v>
      </c>
      <c r="C107" s="422" t="s">
        <v>118</v>
      </c>
      <c r="D107" s="423" t="s">
        <v>62</v>
      </c>
      <c r="E107" s="424" t="s">
        <v>119</v>
      </c>
      <c r="F107" s="425" t="s">
        <v>120</v>
      </c>
    </row>
    <row r="108" spans="1:10" ht="26.25" customHeight="1" x14ac:dyDescent="0.4">
      <c r="A108" s="307" t="s">
        <v>121</v>
      </c>
      <c r="B108" s="308">
        <v>1</v>
      </c>
      <c r="C108" s="426">
        <v>1</v>
      </c>
      <c r="D108" s="427">
        <v>49617267</v>
      </c>
      <c r="E108" s="458">
        <f t="shared" ref="E108:E113" si="1">IF(ISBLANK(D108),"-",D108/$D$103*$D$100*$B$116)</f>
        <v>123.08492216996628</v>
      </c>
      <c r="F108" s="428">
        <f t="shared" ref="F108:F113" si="2">IF(ISBLANK(D108), "-", E108/$B$56)</f>
        <v>0.98467937735973021</v>
      </c>
    </row>
    <row r="109" spans="1:10" ht="26.25" customHeight="1" x14ac:dyDescent="0.4">
      <c r="A109" s="307" t="s">
        <v>94</v>
      </c>
      <c r="B109" s="308">
        <v>1</v>
      </c>
      <c r="C109" s="426">
        <v>2</v>
      </c>
      <c r="D109" s="427">
        <v>49738371</v>
      </c>
      <c r="E109" s="459">
        <f t="shared" si="1"/>
        <v>123.38534332001616</v>
      </c>
      <c r="F109" s="429">
        <f t="shared" si="2"/>
        <v>0.98708274656012929</v>
      </c>
    </row>
    <row r="110" spans="1:10" ht="26.25" customHeight="1" x14ac:dyDescent="0.4">
      <c r="A110" s="307" t="s">
        <v>95</v>
      </c>
      <c r="B110" s="308">
        <v>1</v>
      </c>
      <c r="C110" s="426">
        <v>3</v>
      </c>
      <c r="D110" s="427">
        <v>44598484</v>
      </c>
      <c r="E110" s="459">
        <f t="shared" si="1"/>
        <v>110.63489111640281</v>
      </c>
      <c r="F110" s="429">
        <f t="shared" si="2"/>
        <v>0.88507912893122254</v>
      </c>
    </row>
    <row r="111" spans="1:10" ht="26.25" customHeight="1" x14ac:dyDescent="0.4">
      <c r="A111" s="307" t="s">
        <v>96</v>
      </c>
      <c r="B111" s="308">
        <v>1</v>
      </c>
      <c r="C111" s="426">
        <v>4</v>
      </c>
      <c r="D111" s="427">
        <v>49471650</v>
      </c>
      <c r="E111" s="459">
        <f t="shared" si="1"/>
        <v>122.72369193308877</v>
      </c>
      <c r="F111" s="429">
        <f t="shared" si="2"/>
        <v>0.98178953546471015</v>
      </c>
    </row>
    <row r="112" spans="1:10" ht="26.25" customHeight="1" x14ac:dyDescent="0.4">
      <c r="A112" s="307" t="s">
        <v>97</v>
      </c>
      <c r="B112" s="308">
        <v>1</v>
      </c>
      <c r="C112" s="426">
        <v>5</v>
      </c>
      <c r="D112" s="427">
        <v>45719632</v>
      </c>
      <c r="E112" s="459">
        <f t="shared" si="1"/>
        <v>113.41610867764039</v>
      </c>
      <c r="F112" s="429">
        <f t="shared" si="2"/>
        <v>0.90732886942112312</v>
      </c>
    </row>
    <row r="113" spans="1:10" ht="26.25" customHeight="1" x14ac:dyDescent="0.4">
      <c r="A113" s="307" t="s">
        <v>99</v>
      </c>
      <c r="B113" s="308">
        <v>1</v>
      </c>
      <c r="C113" s="430">
        <v>6</v>
      </c>
      <c r="D113" s="431">
        <v>52705472</v>
      </c>
      <c r="E113" s="460">
        <f t="shared" si="1"/>
        <v>130.74579297266288</v>
      </c>
      <c r="F113" s="432">
        <f t="shared" si="2"/>
        <v>1.0459663437813032</v>
      </c>
    </row>
    <row r="114" spans="1:10" ht="26.25" customHeight="1" x14ac:dyDescent="0.4">
      <c r="A114" s="307" t="s">
        <v>100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101</v>
      </c>
      <c r="B115" s="308">
        <v>1</v>
      </c>
      <c r="C115" s="426"/>
      <c r="D115" s="434" t="s">
        <v>70</v>
      </c>
      <c r="E115" s="462">
        <f>AVERAGE(E108:E113)</f>
        <v>120.66512503162956</v>
      </c>
      <c r="F115" s="435">
        <f>AVERAGE(F108:F113)</f>
        <v>0.96532100025303647</v>
      </c>
    </row>
    <row r="116" spans="1:10" ht="27" customHeight="1" x14ac:dyDescent="0.4">
      <c r="A116" s="307" t="s">
        <v>102</v>
      </c>
      <c r="B116" s="339">
        <f>(B115/B114)*(B113/B112)*(B111/B110)*(B109/B108)*B107</f>
        <v>900</v>
      </c>
      <c r="C116" s="436"/>
      <c r="D116" s="399" t="s">
        <v>83</v>
      </c>
      <c r="E116" s="437">
        <f>STDEV(E108:E113)/E115</f>
        <v>6.1154758449955729E-2</v>
      </c>
      <c r="F116" s="437">
        <f>STDEV(F108:F113)/F115</f>
        <v>6.115475844995575E-2</v>
      </c>
      <c r="I116" s="281"/>
    </row>
    <row r="117" spans="1:10" ht="27" customHeight="1" x14ac:dyDescent="0.4">
      <c r="A117" s="494" t="s">
        <v>77</v>
      </c>
      <c r="B117" s="495"/>
      <c r="C117" s="438"/>
      <c r="D117" s="439" t="s">
        <v>19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496"/>
      <c r="B118" s="497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105</v>
      </c>
      <c r="B120" s="387" t="s">
        <v>122</v>
      </c>
      <c r="C120" s="506" t="str">
        <f>B20</f>
        <v>Amoxicillin &amp; Clavulanate Potassium</v>
      </c>
      <c r="D120" s="506"/>
      <c r="E120" s="388" t="s">
        <v>123</v>
      </c>
      <c r="F120" s="388"/>
      <c r="G120" s="389">
        <f>F115</f>
        <v>0.96532100025303647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507" t="s">
        <v>25</v>
      </c>
      <c r="C122" s="507"/>
      <c r="E122" s="394" t="s">
        <v>26</v>
      </c>
      <c r="F122" s="443"/>
      <c r="G122" s="507" t="s">
        <v>27</v>
      </c>
      <c r="H122" s="507"/>
    </row>
    <row r="123" spans="1:10" ht="69.95" customHeight="1" x14ac:dyDescent="0.3">
      <c r="A123" s="444" t="s">
        <v>28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29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(ASSAY)</vt:lpstr>
      <vt:lpstr>SST (DISS)</vt:lpstr>
      <vt:lpstr>Uniformity</vt:lpstr>
      <vt:lpstr>amoxicillin Trihydrate</vt:lpstr>
      <vt:lpstr>Clavulanic acid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dcterms:created xsi:type="dcterms:W3CDTF">2005-07-05T10:19:27Z</dcterms:created>
  <dcterms:modified xsi:type="dcterms:W3CDTF">2016-02-08T13:10:49Z</dcterms:modified>
  <cp:category/>
</cp:coreProperties>
</file>