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30" windowHeight="9405" activeTab="2"/>
  </bookViews>
  <sheets>
    <sheet name="SST" sheetId="1" r:id="rId1"/>
    <sheet name="Uniformity" sheetId="2" r:id="rId2"/>
    <sheet name="Norethindrone USP" sheetId="3" r:id="rId3"/>
    <sheet name="Norethindrone " sheetId="4" r:id="rId4"/>
  </sheets>
  <definedNames>
    <definedName name="_xlnm.Print_Area" localSheetId="3">'Norethindrone '!$A$1:$G$84</definedName>
    <definedName name="_xlnm.Print_Area" localSheetId="2">'Norethindrone USP'!$A$1:$I$125</definedName>
    <definedName name="_xlnm.Print_Area" localSheetId="0">SST!$A$15:$G$61</definedName>
    <definedName name="_xlnm.Print_Area" localSheetId="1">Uniformity!$A$12:$F$54</definedName>
  </definedNames>
  <calcPr calcId="144525"/>
</workbook>
</file>

<file path=xl/calcChain.xml><?xml version="1.0" encoding="utf-8"?>
<calcChain xmlns="http://schemas.openxmlformats.org/spreadsheetml/2006/main">
  <c r="D51" i="3" l="1"/>
  <c r="B57" i="4" l="1"/>
  <c r="B57" i="3"/>
  <c r="C129" i="4" l="1"/>
  <c r="B125" i="4"/>
  <c r="D109" i="4" s="1"/>
  <c r="D110" i="4" s="1"/>
  <c r="D111" i="4" s="1"/>
  <c r="F122" i="4"/>
  <c r="E122" i="4"/>
  <c r="F121" i="4"/>
  <c r="E121" i="4"/>
  <c r="F120" i="4"/>
  <c r="E120" i="4"/>
  <c r="F119" i="4"/>
  <c r="E119" i="4"/>
  <c r="F118" i="4"/>
  <c r="E118" i="4"/>
  <c r="F117" i="4"/>
  <c r="E117" i="4"/>
  <c r="B107" i="4"/>
  <c r="F106" i="4"/>
  <c r="D106" i="4"/>
  <c r="F104" i="4"/>
  <c r="D104" i="4"/>
  <c r="G103" i="4"/>
  <c r="E103" i="4"/>
  <c r="G102" i="4"/>
  <c r="E102" i="4"/>
  <c r="G101" i="4"/>
  <c r="E101" i="4"/>
  <c r="G100" i="4"/>
  <c r="E100" i="4"/>
  <c r="B96" i="4"/>
  <c r="B90" i="4"/>
  <c r="B89" i="4"/>
  <c r="B91" i="4" s="1"/>
  <c r="F107" i="4" s="1"/>
  <c r="F108" i="4" s="1"/>
  <c r="C74" i="4"/>
  <c r="B67" i="4"/>
  <c r="C56" i="4"/>
  <c r="B55" i="4"/>
  <c r="B45" i="4"/>
  <c r="D48" i="4" s="1"/>
  <c r="F42" i="4"/>
  <c r="D42" i="4"/>
  <c r="G41" i="4"/>
  <c r="E41" i="4"/>
  <c r="B34" i="4"/>
  <c r="F44" i="4" s="1"/>
  <c r="B30" i="4"/>
  <c r="F45" i="4" l="1"/>
  <c r="F46" i="4" s="1"/>
  <c r="D44" i="4"/>
  <c r="D45" i="4" s="1"/>
  <c r="D46" i="4" s="1"/>
  <c r="G104" i="4"/>
  <c r="E104" i="4"/>
  <c r="F124" i="4"/>
  <c r="G129" i="4" s="1"/>
  <c r="D107" i="4"/>
  <c r="D108" i="4" s="1"/>
  <c r="D49" i="4"/>
  <c r="D112" i="4"/>
  <c r="D113" i="4" s="1"/>
  <c r="D114" i="4"/>
  <c r="F126" i="4"/>
  <c r="E38" i="4" l="1"/>
  <c r="G38" i="4"/>
  <c r="G40" i="4"/>
  <c r="G39" i="4"/>
  <c r="E39" i="4"/>
  <c r="E40" i="4"/>
  <c r="F125" i="4"/>
  <c r="G42" i="4" l="1"/>
  <c r="E42" i="4"/>
  <c r="D50" i="4"/>
  <c r="E61" i="4" s="1"/>
  <c r="D52" i="4"/>
  <c r="E59" i="4" l="1"/>
  <c r="G59" i="4" s="1"/>
  <c r="E60" i="4"/>
  <c r="G60" i="4" s="1"/>
  <c r="E62" i="4"/>
  <c r="G62" i="4" s="1"/>
  <c r="E65" i="4"/>
  <c r="G65" i="4" s="1"/>
  <c r="E64" i="4"/>
  <c r="G64" i="4" s="1"/>
  <c r="E66" i="4"/>
  <c r="G66" i="4" s="1"/>
  <c r="E67" i="4"/>
  <c r="G67" i="4" s="1"/>
  <c r="E68" i="4"/>
  <c r="G68" i="4" s="1"/>
  <c r="D51" i="4"/>
  <c r="E63" i="4"/>
  <c r="G63" i="4" s="1"/>
  <c r="G61" i="4"/>
  <c r="E70" i="4" l="1"/>
  <c r="E71" i="4" s="1"/>
  <c r="E72" i="4"/>
  <c r="C81" i="4"/>
  <c r="G72" i="4"/>
  <c r="G70" i="4"/>
  <c r="F62" i="4" l="1"/>
  <c r="F66" i="4"/>
  <c r="F63" i="4"/>
  <c r="F59" i="4"/>
  <c r="F65" i="4"/>
  <c r="F64" i="4"/>
  <c r="F67" i="4"/>
  <c r="F60" i="4"/>
  <c r="F68" i="4"/>
  <c r="F61" i="4"/>
  <c r="C79" i="4"/>
  <c r="C82" i="4" s="1"/>
  <c r="G74" i="4"/>
  <c r="G71" i="4"/>
  <c r="F70" i="4" l="1"/>
  <c r="F71" i="4" s="1"/>
  <c r="F72" i="4"/>
  <c r="C83" i="4"/>
  <c r="B32" i="1"/>
  <c r="E30" i="1"/>
  <c r="D30" i="1"/>
  <c r="C30" i="1"/>
  <c r="B30" i="1"/>
  <c r="B31" i="1" s="1"/>
  <c r="H71" i="3" l="1"/>
  <c r="G71" i="3"/>
  <c r="G63" i="3"/>
  <c r="G67" i="3"/>
  <c r="H63" i="3"/>
  <c r="H67" i="3"/>
  <c r="E41" i="3"/>
  <c r="C120" i="3" l="1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C46" i="2"/>
  <c r="D41" i="2" s="1"/>
  <c r="C45" i="2"/>
  <c r="B53" i="1"/>
  <c r="E51" i="1"/>
  <c r="D51" i="1"/>
  <c r="C51" i="1"/>
  <c r="B51" i="1"/>
  <c r="B52" i="1" s="1"/>
  <c r="D29" i="2" l="1"/>
  <c r="D39" i="2"/>
  <c r="I39" i="3"/>
  <c r="I92" i="3"/>
  <c r="D101" i="3"/>
  <c r="D34" i="2"/>
  <c r="F97" i="3"/>
  <c r="F98" i="3" s="1"/>
  <c r="B69" i="3"/>
  <c r="D27" i="2"/>
  <c r="D33" i="2"/>
  <c r="D38" i="2"/>
  <c r="D50" i="2"/>
  <c r="D26" i="2"/>
  <c r="D31" i="2"/>
  <c r="D37" i="2"/>
  <c r="D43" i="2"/>
  <c r="C49" i="2"/>
  <c r="D25" i="2"/>
  <c r="D30" i="2"/>
  <c r="D35" i="2"/>
  <c r="D42" i="2"/>
  <c r="B49" i="2"/>
  <c r="C50" i="2"/>
  <c r="D24" i="2"/>
  <c r="D28" i="2"/>
  <c r="D32" i="2"/>
  <c r="D36" i="2"/>
  <c r="D40" i="2"/>
  <c r="D49" i="2"/>
  <c r="D98" i="3"/>
  <c r="D99" i="3" s="1"/>
  <c r="G94" i="3"/>
  <c r="F44" i="3"/>
  <c r="F45" i="3" s="1"/>
  <c r="D44" i="3"/>
  <c r="D45" i="3" s="1"/>
  <c r="D49" i="3"/>
  <c r="G93" i="3" l="1"/>
  <c r="G91" i="3"/>
  <c r="E92" i="3"/>
  <c r="G92" i="3"/>
  <c r="E93" i="3"/>
  <c r="E91" i="3"/>
  <c r="F99" i="3"/>
  <c r="D102" i="3"/>
  <c r="G40" i="3"/>
  <c r="G38" i="3"/>
  <c r="G39" i="3"/>
  <c r="E39" i="3"/>
  <c r="E40" i="3"/>
  <c r="E38" i="3"/>
  <c r="E94" i="3"/>
  <c r="D46" i="3"/>
  <c r="F46" i="3"/>
  <c r="G41" i="3"/>
  <c r="G95" i="3" l="1"/>
  <c r="D103" i="3"/>
  <c r="E113" i="3" s="1"/>
  <c r="F113" i="3" s="1"/>
  <c r="D105" i="3"/>
  <c r="E95" i="3"/>
  <c r="D52" i="3"/>
  <c r="D50" i="3"/>
  <c r="E42" i="3"/>
  <c r="G42" i="3"/>
  <c r="E110" i="3" l="1"/>
  <c r="F110" i="3" s="1"/>
  <c r="E109" i="3"/>
  <c r="F109" i="3" s="1"/>
  <c r="E108" i="3"/>
  <c r="F108" i="3" s="1"/>
  <c r="E111" i="3"/>
  <c r="F111" i="3" s="1"/>
  <c r="D104" i="3"/>
  <c r="E112" i="3"/>
  <c r="F112" i="3" s="1"/>
  <c r="G64" i="3"/>
  <c r="H64" i="3" s="1"/>
  <c r="G70" i="3"/>
  <c r="H70" i="3" s="1"/>
  <c r="G69" i="3"/>
  <c r="H69" i="3" s="1"/>
  <c r="G62" i="3"/>
  <c r="H62" i="3" s="1"/>
  <c r="G66" i="3"/>
  <c r="H66" i="3" s="1"/>
  <c r="G68" i="3"/>
  <c r="H68" i="3" s="1"/>
  <c r="G61" i="3"/>
  <c r="H61" i="3" s="1"/>
  <c r="G65" i="3"/>
  <c r="H65" i="3" s="1"/>
  <c r="G60" i="3"/>
  <c r="H60" i="3" s="1"/>
  <c r="E117" i="3" l="1"/>
  <c r="E115" i="3"/>
  <c r="E116" i="3" s="1"/>
  <c r="F115" i="3"/>
  <c r="F117" i="3"/>
  <c r="G74" i="3"/>
  <c r="G72" i="3"/>
  <c r="G73" i="3" s="1"/>
  <c r="G120" i="3" l="1"/>
  <c r="F116" i="3"/>
  <c r="H74" i="3"/>
  <c r="H72" i="3"/>
  <c r="G76" i="3" l="1"/>
  <c r="H73" i="3"/>
</calcChain>
</file>

<file path=xl/sharedStrings.xml><?xml version="1.0" encoding="utf-8"?>
<sst xmlns="http://schemas.openxmlformats.org/spreadsheetml/2006/main" count="399" uniqueCount="156">
  <si>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</si>
  <si>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</si>
  <si>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</si>
  <si>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</si>
  <si>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</si>
  <si>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</si>
  <si>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</si>
  <si>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</si>
  <si>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</si>
  <si>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</si>
  <si>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</si>
  <si>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</si>
  <si>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</si>
  <si>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</si>
  <si>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</si>
  <si>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</si>
  <si>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</si>
  <si>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</si>
  <si>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</si>
  <si>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</si>
  <si>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</si>
  <si>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</si>
  <si>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</si>
  <si>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</si>
  <si>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</si>
  <si>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</si>
  <si>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</si>
  <si>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</si>
  <si>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</si>
  <si>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</si>
  <si>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</si>
  <si>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</si>
  <si>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</si>
  <si>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</si>
  <si>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</si>
  <si>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</si>
  <si>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</si>
  <si>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</si>
  <si>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</si>
  <si>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</si>
  <si>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</si>
  <si>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</si>
  <si>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</si>
  <si>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</si>
  <si>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</si>
  <si>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</si>
  <si>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</si>
  <si>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</si>
  <si>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</si>
  <si>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</si>
  <si>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</si>
  <si>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</si>
  <si>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</si>
  <si>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</si>
  <si>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</si>
  <si>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</si>
  <si>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</si>
  <si>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</si>
  <si>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</si>
  <si>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</si>
  <si>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</si>
  <si>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</si>
  <si>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</si>
  <si>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</si>
  <si>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</si>
  <si>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</si>
  <si>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</si>
  <si>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</si>
  <si>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</si>
  <si>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</si>
  <si>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</si>
  <si>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</si>
  <si>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</si>
  <si>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</si>
  <si>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</si>
  <si>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</si>
  <si>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</si>
  <si>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</si>
  <si>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</si>
  <si>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</si>
  <si>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</si>
  <si>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</si>
  <si>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</si>
  <si>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</si>
  <si>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</si>
  <si>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</si>
  <si>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</si>
  <si>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</si>
  <si>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</si>
  <si>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</si>
  <si>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</si>
  <si>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</si>
  <si>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</si>
  <si>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</si>
  <si>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</si>
  <si>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</si>
  <si>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</si>
  <si>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</si>
  <si>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</si>
  <si>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</si>
  <si>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</si>
  <si>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</si>
  <si>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</si>
  <si>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</si>
  <si>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</si>
  <si>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</si>
  <si>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</si>
  <si>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</si>
  <si>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</si>
  <si>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</si>
  <si>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</si>
  <si>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</si>
  <si>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</si>
  <si>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</si>
  <si>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</si>
  <si>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</si>
  <si>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</si>
  <si>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</si>
  <si>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</si>
  <si>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</si>
  <si>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Rutto</t>
  </si>
  <si>
    <t>If correction for water content is NOT needed, enter 0</t>
  </si>
  <si>
    <t>Initial Standard dilution (mL):</t>
  </si>
  <si>
    <t>Desired Concetration (mg/mL):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</si>
  <si>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</si>
  <si>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</si>
  <si>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</si>
  <si>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</si>
  <si>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</si>
  <si>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</si>
  <si>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</si>
  <si>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</si>
  <si>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</si>
  <si>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</si>
  <si>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</si>
  <si>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</si>
  <si>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</si>
  <si>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</si>
  <si>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</si>
  <si>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</si>
  <si>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tablet No.</t>
  </si>
  <si>
    <t>18/04/2016</t>
  </si>
  <si>
    <t>Kipkorir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</si>
  <si>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3.0%.</t>
    </r>
  </si>
  <si>
    <t>Norethindrone Tablets</t>
  </si>
  <si>
    <t>NDQD201512638</t>
  </si>
  <si>
    <t>Norethindrone USP</t>
  </si>
  <si>
    <t>Each uncoated tablets contains Norethindrone USP 0.35mg</t>
  </si>
  <si>
    <t>N16-1</t>
  </si>
  <si>
    <t>Norethindrone USP Tablets</t>
  </si>
  <si>
    <t xml:space="preserve">Norethindrone USP </t>
  </si>
  <si>
    <t>29/6/2016</t>
  </si>
  <si>
    <t>20/7/2016</t>
  </si>
  <si>
    <t>Norethindrone USP Tabs</t>
  </si>
  <si>
    <t>Each uncoated tablets contains Norethindrone 0.35mg</t>
  </si>
  <si>
    <t>26/4/2016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</si>
</sst>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\ &quot;%&quot;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Book Antiqua"/>
      <family val="1"/>
    </font>
    <font>
      <sz val="10"/>
      <color rgb="FF000000"/>
      <name val="Arial"/>
      <family val="2"/>
    </font>
    <font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5" fillId="2" borderId="0"/>
  </cellStyleXfs>
  <cellXfs count="52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4" fontId="6" fillId="2" borderId="0" xfId="0" applyNumberFormat="1" applyFont="1" applyFill="1"/>
    <xf numFmtId="171" fontId="24" fillId="2" borderId="26" xfId="0" applyNumberFormat="1" applyFont="1" applyFill="1" applyBorder="1" applyAlignment="1">
      <alignment horizontal="center"/>
    </xf>
    <xf numFmtId="171" fontId="24" fillId="2" borderId="30" xfId="0" applyNumberFormat="1" applyFont="1" applyFill="1" applyBorder="1" applyAlignment="1">
      <alignment horizontal="center"/>
    </xf>
    <xf numFmtId="171" fontId="24" fillId="2" borderId="31" xfId="0" applyNumberFormat="1" applyFont="1" applyFill="1" applyBorder="1" applyAlignment="1">
      <alignment horizontal="center"/>
    </xf>
    <xf numFmtId="171" fontId="24" fillId="2" borderId="32" xfId="0" applyNumberFormat="1" applyFont="1" applyFill="1" applyBorder="1" applyAlignment="1">
      <alignment horizontal="center"/>
    </xf>
    <xf numFmtId="14" fontId="11" fillId="2" borderId="7" xfId="0" applyNumberFormat="1" applyFont="1" applyFill="1" applyBorder="1"/>
    <xf numFmtId="14" fontId="6" fillId="2" borderId="7" xfId="0" applyNumberFormat="1" applyFont="1" applyFill="1" applyBorder="1"/>
    <xf numFmtId="14" fontId="2" fillId="2" borderId="7" xfId="0" applyNumberFormat="1" applyFont="1" applyFill="1" applyBorder="1"/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0" fontId="25" fillId="2" borderId="0" xfId="1" applyFill="1"/>
    <xf numFmtId="0" fontId="11" fillId="2" borderId="0" xfId="1" applyFont="1" applyFill="1"/>
    <xf numFmtId="0" fontId="3" fillId="2" borderId="0" xfId="1" applyFont="1" applyFill="1"/>
    <xf numFmtId="0" fontId="12" fillId="2" borderId="0" xfId="1" applyFont="1" applyFill="1"/>
    <xf numFmtId="0" fontId="12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8" fillId="2" borderId="0" xfId="1" applyFont="1" applyFill="1"/>
    <xf numFmtId="0" fontId="11" fillId="2" borderId="21" xfId="1" applyFont="1" applyFill="1" applyBorder="1" applyAlignment="1">
      <alignment horizontal="right"/>
    </xf>
    <xf numFmtId="0" fontId="13" fillId="3" borderId="59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32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0" fontId="11" fillId="2" borderId="39" xfId="1" applyFont="1" applyFill="1" applyBorder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2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0" fontId="13" fillId="3" borderId="41" xfId="1" applyFont="1" applyFill="1" applyBorder="1" applyAlignment="1" applyProtection="1">
      <alignment horizontal="center"/>
      <protection locked="0"/>
    </xf>
    <xf numFmtId="1" fontId="11" fillId="2" borderId="0" xfId="1" applyNumberFormat="1" applyFont="1" applyFill="1" applyAlignment="1">
      <alignment horizontal="center"/>
    </xf>
    <xf numFmtId="0" fontId="11" fillId="2" borderId="29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0" fontId="4" fillId="2" borderId="0" xfId="1" applyFont="1" applyFill="1"/>
    <xf numFmtId="0" fontId="6" fillId="2" borderId="0" xfId="1" applyFont="1" applyFill="1"/>
    <xf numFmtId="0" fontId="12" fillId="2" borderId="60" xfId="1" applyFont="1" applyFill="1" applyBorder="1" applyAlignment="1">
      <alignment horizontal="center"/>
    </xf>
    <xf numFmtId="0" fontId="12" fillId="7" borderId="54" xfId="1" applyFont="1" applyFill="1" applyBorder="1" applyAlignment="1">
      <alignment horizontal="center"/>
    </xf>
    <xf numFmtId="0" fontId="12" fillId="7" borderId="10" xfId="1" applyFont="1" applyFill="1" applyBorder="1" applyAlignment="1">
      <alignment horizontal="center"/>
    </xf>
    <xf numFmtId="0" fontId="12" fillId="7" borderId="55" xfId="1" applyFont="1" applyFill="1" applyBorder="1" applyAlignment="1">
      <alignment horizontal="center" wrapText="1"/>
    </xf>
    <xf numFmtId="0" fontId="12" fillId="7" borderId="22" xfId="1" applyFont="1" applyFill="1" applyBorder="1" applyAlignment="1">
      <alignment horizontal="center" wrapText="1"/>
    </xf>
    <xf numFmtId="0" fontId="11" fillId="2" borderId="29" xfId="1" applyFont="1" applyFill="1" applyBorder="1" applyAlignment="1">
      <alignment horizontal="center"/>
    </xf>
    <xf numFmtId="0" fontId="14" fillId="3" borderId="4" xfId="1" applyFont="1" applyFill="1" applyBorder="1" applyAlignment="1">
      <alignment horizontal="center" wrapText="1"/>
    </xf>
    <xf numFmtId="2" fontId="11" fillId="2" borderId="26" xfId="1" applyNumberFormat="1" applyFont="1" applyFill="1" applyBorder="1" applyAlignment="1">
      <alignment horizontal="center"/>
    </xf>
    <xf numFmtId="2" fontId="11" fillId="2" borderId="4" xfId="1" applyNumberFormat="1" applyFont="1" applyFill="1" applyBorder="1" applyAlignment="1">
      <alignment horizontal="center"/>
    </xf>
    <xf numFmtId="2" fontId="11" fillId="2" borderId="28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0" fontId="14" fillId="3" borderId="3" xfId="1" applyFont="1" applyFill="1" applyBorder="1" applyAlignment="1">
      <alignment horizontal="center" wrapText="1"/>
    </xf>
    <xf numFmtId="2" fontId="11" fillId="2" borderId="31" xfId="1" applyNumberFormat="1" applyFont="1" applyFill="1" applyBorder="1" applyAlignment="1">
      <alignment horizontal="center"/>
    </xf>
    <xf numFmtId="2" fontId="11" fillId="2" borderId="3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center"/>
    </xf>
    <xf numFmtId="0" fontId="14" fillId="3" borderId="61" xfId="1" applyFont="1" applyFill="1" applyBorder="1" applyAlignment="1">
      <alignment horizontal="center" wrapText="1"/>
    </xf>
    <xf numFmtId="2" fontId="11" fillId="2" borderId="38" xfId="1" applyNumberFormat="1" applyFont="1" applyFill="1" applyBorder="1" applyAlignment="1">
      <alignment horizontal="center"/>
    </xf>
    <xf numFmtId="2" fontId="11" fillId="2" borderId="61" xfId="1" applyNumberFormat="1" applyFont="1" applyFill="1" applyBorder="1" applyAlignment="1">
      <alignment horizontal="center"/>
    </xf>
    <xf numFmtId="2" fontId="11" fillId="2" borderId="44" xfId="1" applyNumberFormat="1" applyFont="1" applyFill="1" applyBorder="1" applyAlignment="1">
      <alignment horizontal="center"/>
    </xf>
    <xf numFmtId="0" fontId="11" fillId="2" borderId="24" xfId="1" applyFont="1" applyFill="1" applyBorder="1"/>
    <xf numFmtId="10" fontId="12" fillId="2" borderId="0" xfId="1" applyNumberFormat="1" applyFont="1" applyFill="1" applyAlignment="1">
      <alignment horizontal="center"/>
    </xf>
    <xf numFmtId="2" fontId="12" fillId="5" borderId="27" xfId="1" applyNumberFormat="1" applyFont="1" applyFill="1" applyBorder="1" applyAlignment="1">
      <alignment horizontal="center"/>
    </xf>
    <xf numFmtId="2" fontId="13" fillId="5" borderId="27" xfId="1" applyNumberFormat="1" applyFont="1" applyFill="1" applyBorder="1" applyAlignment="1">
      <alignment horizontal="center"/>
    </xf>
    <xf numFmtId="10" fontId="12" fillId="6" borderId="27" xfId="1" applyNumberFormat="1" applyFont="1" applyFill="1" applyBorder="1" applyAlignment="1">
      <alignment horizontal="center"/>
    </xf>
    <xf numFmtId="10" fontId="13" fillId="6" borderId="27" xfId="1" applyNumberFormat="1" applyFont="1" applyFill="1" applyBorder="1" applyAlignment="1">
      <alignment horizontal="center"/>
    </xf>
    <xf numFmtId="10" fontId="12" fillId="2" borderId="9" xfId="1" applyNumberFormat="1" applyFont="1" applyFill="1" applyBorder="1" applyAlignment="1">
      <alignment horizontal="center"/>
    </xf>
    <xf numFmtId="2" fontId="12" fillId="5" borderId="62" xfId="1" applyNumberFormat="1" applyFont="1" applyFill="1" applyBorder="1" applyAlignment="1">
      <alignment horizontal="center"/>
    </xf>
    <xf numFmtId="2" fontId="13" fillId="5" borderId="62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173" fontId="12" fillId="2" borderId="0" xfId="1" applyNumberFormat="1" applyFont="1" applyFill="1" applyAlignment="1">
      <alignment horizontal="center"/>
    </xf>
    <xf numFmtId="165" fontId="12" fillId="2" borderId="0" xfId="1" applyNumberFormat="1" applyFont="1" applyFill="1" applyAlignment="1">
      <alignment horizontal="center"/>
    </xf>
    <xf numFmtId="0" fontId="11" fillId="2" borderId="1" xfId="1" applyFont="1" applyFill="1" applyBorder="1" applyAlignment="1">
      <alignment horizontal="right"/>
    </xf>
    <xf numFmtId="2" fontId="11" fillId="2" borderId="1" xfId="1" applyNumberFormat="1" applyFont="1" applyFill="1" applyBorder="1" applyAlignment="1">
      <alignment horizontal="center"/>
    </xf>
    <xf numFmtId="0" fontId="14" fillId="3" borderId="1" xfId="1" applyFont="1" applyFill="1" applyBorder="1" applyAlignment="1" applyProtection="1">
      <alignment horizontal="center"/>
      <protection locked="0"/>
    </xf>
    <xf numFmtId="1" fontId="12" fillId="6" borderId="1" xfId="1" applyNumberFormat="1" applyFont="1" applyFill="1" applyBorder="1" applyAlignment="1">
      <alignment horizontal="center"/>
    </xf>
    <xf numFmtId="0" fontId="12" fillId="2" borderId="0" xfId="1" applyFont="1" applyFill="1" applyAlignment="1" applyProtection="1">
      <alignment horizontal="center"/>
      <protection locked="0"/>
    </xf>
    <xf numFmtId="0" fontId="17" fillId="2" borderId="0" xfId="1" applyFont="1" applyFill="1"/>
    <xf numFmtId="0" fontId="13" fillId="3" borderId="22" xfId="1" applyFont="1" applyFill="1" applyBorder="1" applyAlignment="1" applyProtection="1">
      <alignment horizontal="center"/>
      <protection locked="0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3" fillId="3" borderId="24" xfId="1" applyFont="1" applyFill="1" applyBorder="1" applyAlignment="1" applyProtection="1">
      <alignment horizontal="center"/>
      <protection locked="0"/>
    </xf>
    <xf numFmtId="171" fontId="11" fillId="2" borderId="4" xfId="1" applyNumberFormat="1" applyFont="1" applyFill="1" applyBorder="1" applyAlignment="1">
      <alignment horizontal="center"/>
    </xf>
    <xf numFmtId="0" fontId="13" fillId="3" borderId="48" xfId="1" applyFont="1" applyFill="1" applyBorder="1" applyAlignment="1" applyProtection="1">
      <alignment horizontal="center"/>
      <protection locked="0"/>
    </xf>
    <xf numFmtId="171" fontId="11" fillId="2" borderId="3" xfId="1" applyNumberFormat="1" applyFont="1" applyFill="1" applyBorder="1" applyAlignment="1">
      <alignment horizontal="center"/>
    </xf>
    <xf numFmtId="171" fontId="13" fillId="3" borderId="0" xfId="1" applyNumberFormat="1" applyFont="1" applyFill="1" applyAlignment="1" applyProtection="1">
      <alignment horizontal="center"/>
      <protection locked="0"/>
    </xf>
    <xf numFmtId="171" fontId="11" fillId="2" borderId="5" xfId="1" applyNumberFormat="1" applyFont="1" applyFill="1" applyBorder="1" applyAlignment="1">
      <alignment horizontal="center"/>
    </xf>
    <xf numFmtId="171" fontId="13" fillId="3" borderId="7" xfId="1" applyNumberFormat="1" applyFont="1" applyFill="1" applyBorder="1" applyAlignment="1" applyProtection="1">
      <alignment horizontal="center"/>
      <protection locked="0"/>
    </xf>
    <xf numFmtId="17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3" fillId="3" borderId="52" xfId="1" applyFont="1" applyFill="1" applyBorder="1" applyAlignment="1" applyProtection="1">
      <alignment horizontal="center"/>
      <protection locked="0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0" fontId="2" fillId="2" borderId="0" xfId="1" applyFont="1" applyFill="1"/>
    <xf numFmtId="0" fontId="11" fillId="2" borderId="63" xfId="1" applyFont="1" applyFill="1" applyBorder="1" applyAlignment="1">
      <alignment horizontal="right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25" xfId="1" applyFont="1" applyFill="1" applyBorder="1" applyAlignment="1">
      <alignment horizontal="right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2" fillId="6" borderId="41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/>
    <xf numFmtId="0" fontId="12" fillId="2" borderId="22" xfId="1" applyFont="1" applyFill="1" applyBorder="1" applyAlignment="1">
      <alignment horizontal="center" wrapText="1"/>
    </xf>
    <xf numFmtId="171" fontId="13" fillId="3" borderId="31" xfId="1" applyNumberFormat="1" applyFont="1" applyFill="1" applyBorder="1" applyAlignment="1" applyProtection="1">
      <alignment horizontal="center"/>
      <protection locked="0"/>
    </xf>
    <xf numFmtId="10" fontId="11" fillId="2" borderId="30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71" fontId="13" fillId="3" borderId="35" xfId="1" applyNumberFormat="1" applyFont="1" applyFill="1" applyBorder="1" applyAlignment="1" applyProtection="1">
      <alignment horizontal="center"/>
      <protection locked="0"/>
    </xf>
    <xf numFmtId="2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171" fontId="12" fillId="2" borderId="0" xfId="1" applyNumberFormat="1" applyFont="1" applyFill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6" xfId="1" applyFont="1" applyFill="1" applyBorder="1"/>
    <xf numFmtId="0" fontId="11" fillId="2" borderId="43" xfId="1" applyFont="1" applyFill="1" applyBorder="1"/>
    <xf numFmtId="0" fontId="11" fillId="2" borderId="64" xfId="1" applyFont="1" applyFill="1" applyBorder="1" applyAlignment="1">
      <alignment horizontal="center"/>
    </xf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2" fillId="2" borderId="1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2" fillId="2" borderId="0" xfId="1" applyFont="1" applyFill="1" applyAlignment="1">
      <alignment horizontal="center"/>
    </xf>
    <xf numFmtId="0" fontId="12" fillId="2" borderId="2" xfId="1" applyFont="1" applyFill="1" applyBorder="1" applyAlignment="1">
      <alignment horizontal="center"/>
    </xf>
    <xf numFmtId="0" fontId="12" fillId="2" borderId="63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left" vertical="center" wrapText="1"/>
    </xf>
    <xf numFmtId="0" fontId="12" fillId="2" borderId="40" xfId="1" applyFont="1" applyFill="1" applyBorder="1" applyAlignment="1">
      <alignment horizontal="center"/>
    </xf>
    <xf numFmtId="166" fontId="13" fillId="3" borderId="21" xfId="0" applyNumberFormat="1" applyFont="1" applyFill="1" applyBorder="1" applyAlignment="1" applyProtection="1">
      <alignment horizontal="center"/>
      <protection locked="0"/>
    </xf>
    <xf numFmtId="166" fontId="13" fillId="3" borderId="23" xfId="0" applyNumberFormat="1" applyFont="1" applyFill="1" applyBorder="1" applyAlignment="1" applyProtection="1">
      <alignment horizontal="center"/>
      <protection locked="0"/>
    </xf>
    <xf numFmtId="166" fontId="13" fillId="3" borderId="43" xfId="0" applyNumberFormat="1" applyFont="1" applyFill="1" applyBorder="1" applyAlignment="1" applyProtection="1">
      <alignment horizontal="center"/>
      <protection locked="0"/>
    </xf>
    <xf numFmtId="166" fontId="11" fillId="2" borderId="68" xfId="0" applyNumberFormat="1" applyFont="1" applyFill="1" applyBorder="1" applyAlignment="1">
      <alignment horizontal="center"/>
    </xf>
    <xf numFmtId="166" fontId="11" fillId="2" borderId="69" xfId="0" applyNumberFormat="1" applyFont="1" applyFill="1" applyBorder="1" applyAlignment="1">
      <alignment horizontal="center"/>
    </xf>
    <xf numFmtId="166" fontId="11" fillId="2" borderId="70" xfId="0" applyNumberFormat="1" applyFont="1" applyFill="1" applyBorder="1" applyAlignment="1">
      <alignment horizontal="center"/>
    </xf>
    <xf numFmtId="10" fontId="11" fillId="2" borderId="65" xfId="0" applyNumberFormat="1" applyFont="1" applyFill="1" applyBorder="1" applyAlignment="1">
      <alignment horizontal="center" vertical="center"/>
    </xf>
    <xf numFmtId="10" fontId="11" fillId="2" borderId="66" xfId="0" applyNumberFormat="1" applyFont="1" applyFill="1" applyBorder="1" applyAlignment="1">
      <alignment horizontal="center" vertical="center"/>
    </xf>
    <xf numFmtId="10" fontId="11" fillId="2" borderId="67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33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41" t="s">
        <v>0</v>
      </c>
      <c r="B15" s="441"/>
      <c r="C15" s="441"/>
      <c r="D15" s="441"/>
      <c r="E15" s="44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149</v>
      </c>
      <c r="D17" s="9"/>
      <c r="E17" s="10"/>
    </row>
    <row r="18" spans="1:6" ht="16.5" customHeight="1" x14ac:dyDescent="0.3">
      <c r="A18" s="11" t="s">
        <v>4</v>
      </c>
      <c r="B18" s="221" t="s">
        <v>150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</v>
      </c>
      <c r="C19" s="10"/>
      <c r="D19" s="10"/>
      <c r="E19" s="10"/>
    </row>
    <row r="20" spans="1:6" ht="16.5" customHeight="1" x14ac:dyDescent="0.3">
      <c r="A20" s="7" t="s">
        <v>6</v>
      </c>
      <c r="B20" s="12">
        <v>14.04</v>
      </c>
      <c r="C20" s="10"/>
      <c r="D20" s="10"/>
      <c r="E20" s="10"/>
    </row>
    <row r="21" spans="1:6" ht="16.5" customHeight="1" x14ac:dyDescent="0.3">
      <c r="A21" s="7" t="s">
        <v>7</v>
      </c>
      <c r="B21" s="13">
        <v>6.9999999999999999E-4</v>
      </c>
      <c r="C21" s="10"/>
      <c r="D21" s="10"/>
      <c r="E21" s="10"/>
    </row>
    <row r="22" spans="1:6" ht="15.75" customHeight="1" x14ac:dyDescent="0.25">
      <c r="A22" s="10"/>
      <c r="B22" s="272" t="s">
        <v>151</v>
      </c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13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14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0</v>
      </c>
      <c r="C32" s="33"/>
      <c r="D32" s="72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21" t="s">
        <v>150</v>
      </c>
      <c r="C39" s="10"/>
      <c r="D39" s="10"/>
      <c r="E39" s="10"/>
    </row>
    <row r="40" spans="1:6" ht="16.5" customHeight="1" x14ac:dyDescent="0.3">
      <c r="A40" s="11" t="s">
        <v>5</v>
      </c>
      <c r="B40" s="12">
        <v>99</v>
      </c>
      <c r="C40" s="10"/>
      <c r="D40" s="10"/>
      <c r="E40" s="10"/>
    </row>
    <row r="41" spans="1:6" ht="16.5" customHeight="1" x14ac:dyDescent="0.3">
      <c r="A41" s="7" t="s">
        <v>6</v>
      </c>
      <c r="B41" s="12">
        <v>14.04</v>
      </c>
      <c r="C41" s="10"/>
      <c r="D41" s="10"/>
      <c r="E41" s="10"/>
    </row>
    <row r="42" spans="1:6" ht="16.5" customHeight="1" x14ac:dyDescent="0.3">
      <c r="A42" s="7" t="s">
        <v>7</v>
      </c>
      <c r="B42" s="13">
        <v>6.9999999999999999E-4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1899506</v>
      </c>
      <c r="C45" s="18">
        <v>10047.5</v>
      </c>
      <c r="D45" s="19">
        <v>1.1000000000000001</v>
      </c>
      <c r="E45" s="20">
        <v>4.8</v>
      </c>
    </row>
    <row r="46" spans="1:6" ht="16.5" customHeight="1" x14ac:dyDescent="0.3">
      <c r="A46" s="17">
        <v>2</v>
      </c>
      <c r="B46" s="18">
        <v>1907552</v>
      </c>
      <c r="C46" s="18">
        <v>10106.200000000001</v>
      </c>
      <c r="D46" s="19">
        <v>1.1000000000000001</v>
      </c>
      <c r="E46" s="19">
        <v>4.8</v>
      </c>
    </row>
    <row r="47" spans="1:6" ht="16.5" customHeight="1" x14ac:dyDescent="0.3">
      <c r="A47" s="17">
        <v>3</v>
      </c>
      <c r="B47" s="18">
        <v>1906511</v>
      </c>
      <c r="C47" s="18">
        <v>10083</v>
      </c>
      <c r="D47" s="19">
        <v>1.1000000000000001</v>
      </c>
      <c r="E47" s="19">
        <v>4.8</v>
      </c>
    </row>
    <row r="48" spans="1:6" ht="16.5" customHeight="1" x14ac:dyDescent="0.3">
      <c r="A48" s="17">
        <v>4</v>
      </c>
      <c r="B48" s="18">
        <v>1907227</v>
      </c>
      <c r="C48" s="18">
        <v>10088.299999999999</v>
      </c>
      <c r="D48" s="19">
        <v>1.1000000000000001</v>
      </c>
      <c r="E48" s="19">
        <v>4.8</v>
      </c>
    </row>
    <row r="49" spans="1:7" ht="16.5" customHeight="1" x14ac:dyDescent="0.3">
      <c r="A49" s="17">
        <v>5</v>
      </c>
      <c r="B49" s="18">
        <v>1903661</v>
      </c>
      <c r="C49" s="18">
        <v>10068.4</v>
      </c>
      <c r="D49" s="19">
        <v>1.1000000000000001</v>
      </c>
      <c r="E49" s="19">
        <v>4.8</v>
      </c>
    </row>
    <row r="50" spans="1:7" ht="16.5" customHeight="1" x14ac:dyDescent="0.3">
      <c r="A50" s="17">
        <v>6</v>
      </c>
      <c r="B50" s="21">
        <v>1906031</v>
      </c>
      <c r="C50" s="21">
        <v>10104.1</v>
      </c>
      <c r="D50" s="22">
        <v>1.1000000000000001</v>
      </c>
      <c r="E50" s="22">
        <v>4.8</v>
      </c>
    </row>
    <row r="51" spans="1:7" ht="16.5" customHeight="1" x14ac:dyDescent="0.3">
      <c r="A51" s="23" t="s">
        <v>13</v>
      </c>
      <c r="B51" s="24">
        <f>AVERAGE(B45:B50)</f>
        <v>1905081.3333333333</v>
      </c>
      <c r="C51" s="25">
        <f>AVERAGE(C45:C50)</f>
        <v>10082.916666666666</v>
      </c>
      <c r="D51" s="26">
        <f>AVERAGE(D45:D50)</f>
        <v>1.0999999999999999</v>
      </c>
      <c r="E51" s="26">
        <f>AVERAGE(E45:E50)</f>
        <v>4.8</v>
      </c>
    </row>
    <row r="52" spans="1:7" ht="16.5" customHeight="1" x14ac:dyDescent="0.3">
      <c r="A52" s="27" t="s">
        <v>14</v>
      </c>
      <c r="B52" s="28">
        <f>(STDEV(B45:B50)/B51)</f>
        <v>1.6051595490697511E-3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143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42" t="s">
        <v>21</v>
      </c>
      <c r="C59" s="442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9" t="s">
        <v>120</v>
      </c>
      <c r="C60" s="48"/>
      <c r="E60" s="279">
        <v>42463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9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46" t="s">
        <v>26</v>
      </c>
      <c r="B11" s="447"/>
      <c r="C11" s="447"/>
      <c r="D11" s="447"/>
      <c r="E11" s="447"/>
      <c r="F11" s="448"/>
      <c r="G11" s="90"/>
    </row>
    <row r="12" spans="1:7" ht="16.5" customHeight="1" x14ac:dyDescent="0.3">
      <c r="A12" s="445" t="s">
        <v>27</v>
      </c>
      <c r="B12" s="445"/>
      <c r="C12" s="445"/>
      <c r="D12" s="445"/>
      <c r="E12" s="445"/>
      <c r="F12" s="445"/>
      <c r="G12" s="89"/>
    </row>
    <row r="14" spans="1:7" ht="16.5" customHeight="1" x14ac:dyDescent="0.3">
      <c r="A14" s="450" t="s">
        <v>28</v>
      </c>
      <c r="B14" s="450"/>
      <c r="C14" s="60" t="s">
        <v>153</v>
      </c>
    </row>
    <row r="15" spans="1:7" ht="16.5" customHeight="1" x14ac:dyDescent="0.3">
      <c r="A15" s="450" t="s">
        <v>29</v>
      </c>
      <c r="B15" s="450"/>
      <c r="C15" s="60" t="s">
        <v>145</v>
      </c>
    </row>
    <row r="16" spans="1:7" ht="16.5" customHeight="1" x14ac:dyDescent="0.3">
      <c r="A16" s="450" t="s">
        <v>30</v>
      </c>
      <c r="B16" s="450"/>
      <c r="C16" s="60" t="s">
        <v>146</v>
      </c>
    </row>
    <row r="17" spans="1:5" ht="16.5" customHeight="1" x14ac:dyDescent="0.3">
      <c r="A17" s="450" t="s">
        <v>31</v>
      </c>
      <c r="B17" s="450"/>
      <c r="C17" s="60" t="s">
        <v>154</v>
      </c>
    </row>
    <row r="18" spans="1:5" ht="16.5" customHeight="1" x14ac:dyDescent="0.3">
      <c r="A18" s="450" t="s">
        <v>32</v>
      </c>
      <c r="B18" s="450"/>
      <c r="C18" s="96" t="s">
        <v>155</v>
      </c>
    </row>
    <row r="19" spans="1:5" ht="16.5" customHeight="1" x14ac:dyDescent="0.3">
      <c r="A19" s="450" t="s">
        <v>33</v>
      </c>
      <c r="B19" s="450"/>
      <c r="C19" s="96" t="s">
        <v>151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445" t="s">
        <v>1</v>
      </c>
      <c r="B21" s="445"/>
      <c r="C21" s="59" t="s">
        <v>34</v>
      </c>
      <c r="D21" s="66"/>
    </row>
    <row r="22" spans="1:5" ht="15.75" customHeight="1" x14ac:dyDescent="0.3">
      <c r="A22" s="449"/>
      <c r="B22" s="449"/>
      <c r="C22" s="57"/>
      <c r="D22" s="449"/>
      <c r="E22" s="449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100.5</v>
      </c>
      <c r="D24" s="86">
        <f t="shared" ref="D24:D43" si="0">(C24-$C$46)/$C$46</f>
        <v>-1.2760439689977372E-2</v>
      </c>
      <c r="E24" s="53"/>
    </row>
    <row r="25" spans="1:5" ht="15.75" customHeight="1" x14ac:dyDescent="0.3">
      <c r="C25" s="94">
        <v>100.99</v>
      </c>
      <c r="D25" s="87">
        <f t="shared" si="0"/>
        <v>-7.9470328785156211E-3</v>
      </c>
      <c r="E25" s="53"/>
    </row>
    <row r="26" spans="1:5" ht="15.75" customHeight="1" x14ac:dyDescent="0.3">
      <c r="C26" s="94">
        <v>101.17</v>
      </c>
      <c r="D26" s="87">
        <f t="shared" si="0"/>
        <v>-6.1788426212438709E-3</v>
      </c>
      <c r="E26" s="53"/>
    </row>
    <row r="27" spans="1:5" ht="15.75" customHeight="1" x14ac:dyDescent="0.3">
      <c r="C27" s="94">
        <v>102.12</v>
      </c>
      <c r="D27" s="87">
        <f t="shared" si="0"/>
        <v>3.1532726254678133E-3</v>
      </c>
      <c r="E27" s="53"/>
    </row>
    <row r="28" spans="1:5" ht="15.75" customHeight="1" x14ac:dyDescent="0.3">
      <c r="C28" s="94">
        <v>101.88</v>
      </c>
      <c r="D28" s="87">
        <f t="shared" si="0"/>
        <v>7.9568561577214765E-4</v>
      </c>
      <c r="E28" s="53"/>
    </row>
    <row r="29" spans="1:5" ht="15.75" customHeight="1" x14ac:dyDescent="0.3">
      <c r="C29" s="94">
        <v>102.28</v>
      </c>
      <c r="D29" s="87">
        <f t="shared" si="0"/>
        <v>4.7249972985981643E-3</v>
      </c>
      <c r="E29" s="53"/>
    </row>
    <row r="30" spans="1:5" ht="15.75" customHeight="1" x14ac:dyDescent="0.3">
      <c r="C30" s="94">
        <v>102.41</v>
      </c>
      <c r="D30" s="87">
        <f t="shared" si="0"/>
        <v>6.0020235955165566E-3</v>
      </c>
      <c r="E30" s="53"/>
    </row>
    <row r="31" spans="1:5" ht="15.75" customHeight="1" x14ac:dyDescent="0.3">
      <c r="C31" s="94">
        <v>102.08</v>
      </c>
      <c r="D31" s="87">
        <f t="shared" si="0"/>
        <v>2.760341457185156E-3</v>
      </c>
      <c r="E31" s="53"/>
    </row>
    <row r="32" spans="1:5" ht="15.75" customHeight="1" x14ac:dyDescent="0.3">
      <c r="C32" s="94">
        <v>102.1</v>
      </c>
      <c r="D32" s="87">
        <f t="shared" si="0"/>
        <v>2.9568070413264146E-3</v>
      </c>
      <c r="E32" s="53"/>
    </row>
    <row r="33" spans="1:7" ht="15.75" customHeight="1" x14ac:dyDescent="0.3">
      <c r="C33" s="94">
        <v>101.9</v>
      </c>
      <c r="D33" s="87">
        <f t="shared" si="0"/>
        <v>9.9215119991354615E-4</v>
      </c>
      <c r="E33" s="53"/>
    </row>
    <row r="34" spans="1:7" ht="15.75" customHeight="1" x14ac:dyDescent="0.3">
      <c r="C34" s="94">
        <v>101.43</v>
      </c>
      <c r="D34" s="87">
        <f t="shared" si="0"/>
        <v>-3.6247900274069466E-3</v>
      </c>
      <c r="E34" s="53"/>
    </row>
    <row r="35" spans="1:7" ht="15.75" customHeight="1" x14ac:dyDescent="0.3">
      <c r="C35" s="94">
        <v>101.76</v>
      </c>
      <c r="D35" s="87">
        <f t="shared" si="0"/>
        <v>-3.831078890755457E-4</v>
      </c>
      <c r="E35" s="53"/>
    </row>
    <row r="36" spans="1:7" ht="15.75" customHeight="1" x14ac:dyDescent="0.3">
      <c r="C36" s="94">
        <v>102.24</v>
      </c>
      <c r="D36" s="87">
        <f t="shared" si="0"/>
        <v>4.3320661303155065E-3</v>
      </c>
      <c r="E36" s="53"/>
    </row>
    <row r="37" spans="1:7" ht="15.75" customHeight="1" x14ac:dyDescent="0.3">
      <c r="C37" s="94">
        <v>102.99</v>
      </c>
      <c r="D37" s="87">
        <f t="shared" si="0"/>
        <v>1.1699525535614184E-2</v>
      </c>
      <c r="E37" s="53"/>
    </row>
    <row r="38" spans="1:7" ht="15.75" customHeight="1" x14ac:dyDescent="0.3">
      <c r="C38" s="94">
        <v>101.63</v>
      </c>
      <c r="D38" s="87">
        <f t="shared" si="0"/>
        <v>-1.6601341859940777E-3</v>
      </c>
      <c r="E38" s="53"/>
    </row>
    <row r="39" spans="1:7" ht="15.75" customHeight="1" x14ac:dyDescent="0.3">
      <c r="C39" s="94">
        <v>100.98</v>
      </c>
      <c r="D39" s="87">
        <f t="shared" si="0"/>
        <v>-8.0452656705861797E-3</v>
      </c>
      <c r="E39" s="53"/>
    </row>
    <row r="40" spans="1:7" ht="15.75" customHeight="1" x14ac:dyDescent="0.3">
      <c r="C40" s="94">
        <v>102.43</v>
      </c>
      <c r="D40" s="87">
        <f t="shared" si="0"/>
        <v>6.1984891796579549E-3</v>
      </c>
      <c r="E40" s="53"/>
    </row>
    <row r="41" spans="1:7" ht="15.75" customHeight="1" x14ac:dyDescent="0.3">
      <c r="C41" s="94">
        <v>102.26</v>
      </c>
      <c r="D41" s="87">
        <f t="shared" si="0"/>
        <v>4.5285317144569048E-3</v>
      </c>
      <c r="E41" s="53"/>
    </row>
    <row r="42" spans="1:7" ht="15.75" customHeight="1" x14ac:dyDescent="0.3">
      <c r="C42" s="94">
        <v>101.9</v>
      </c>
      <c r="D42" s="87">
        <f t="shared" si="0"/>
        <v>9.9215119991354615E-4</v>
      </c>
      <c r="E42" s="53"/>
    </row>
    <row r="43" spans="1:7" ht="16.5" customHeight="1" x14ac:dyDescent="0.3">
      <c r="C43" s="95">
        <v>100.93</v>
      </c>
      <c r="D43" s="88">
        <f t="shared" si="0"/>
        <v>-8.5364296309393978E-3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2035.9800000000002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101.79900000000001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443">
        <f>C46</f>
        <v>101.79900000000001</v>
      </c>
      <c r="C49" s="92">
        <f>-IF(C46&lt;=80,10%,IF(C46&lt;250,7.5%,5%))</f>
        <v>-7.4999999999999997E-2</v>
      </c>
      <c r="D49" s="80">
        <f>IF(C46&lt;=80,C46*0.9,IF(C46&lt;250,C46*0.925,C46*0.95))</f>
        <v>94.164075000000011</v>
      </c>
    </row>
    <row r="50" spans="1:6" ht="17.25" customHeight="1" x14ac:dyDescent="0.3">
      <c r="B50" s="444"/>
      <c r="C50" s="93">
        <f>IF(C46&lt;=80, 10%, IF(C46&lt;250, 7.5%, 5%))</f>
        <v>7.4999999999999997E-2</v>
      </c>
      <c r="D50" s="80">
        <f>IF(C46&lt;=80, C46*1.1, IF(C46&lt;250, C46*1.075, C46*1.05))</f>
        <v>109.433925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72" t="s">
        <v>142</v>
      </c>
      <c r="C53" s="71"/>
      <c r="D53" s="278" t="s">
        <v>152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2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1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9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8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7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6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4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3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2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1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9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8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7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5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4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3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2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56" zoomScale="50" zoomScaleNormal="40" zoomScalePageLayoutView="50" workbookViewId="0">
      <selection activeCell="F61" sqref="F6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9" t="s">
        <v>40</v>
      </c>
      <c r="B1" s="479"/>
      <c r="C1" s="479"/>
      <c r="D1" s="479"/>
      <c r="E1" s="479"/>
      <c r="F1" s="479"/>
      <c r="G1" s="479"/>
      <c r="H1" s="479"/>
      <c r="I1" s="479"/>
    </row>
    <row r="2" spans="1:9" ht="18.75" customHeight="1" x14ac:dyDescent="0.25">
      <c r="A2" s="479"/>
      <c r="B2" s="479"/>
      <c r="C2" s="479"/>
      <c r="D2" s="479"/>
      <c r="E2" s="479"/>
      <c r="F2" s="479"/>
      <c r="G2" s="479"/>
      <c r="H2" s="479"/>
      <c r="I2" s="479"/>
    </row>
    <row r="3" spans="1:9" ht="18.75" customHeight="1" x14ac:dyDescent="0.25">
      <c r="A3" s="479"/>
      <c r="B3" s="479"/>
      <c r="C3" s="479"/>
      <c r="D3" s="479"/>
      <c r="E3" s="479"/>
      <c r="F3" s="479"/>
      <c r="G3" s="479"/>
      <c r="H3" s="479"/>
      <c r="I3" s="479"/>
    </row>
    <row r="4" spans="1:9" ht="18.75" customHeight="1" x14ac:dyDescent="0.25">
      <c r="A4" s="479"/>
      <c r="B4" s="479"/>
      <c r="C4" s="479"/>
      <c r="D4" s="479"/>
      <c r="E4" s="479"/>
      <c r="F4" s="479"/>
      <c r="G4" s="479"/>
      <c r="H4" s="479"/>
      <c r="I4" s="479"/>
    </row>
    <row r="5" spans="1:9" ht="18.75" customHeight="1" x14ac:dyDescent="0.25">
      <c r="A5" s="479"/>
      <c r="B5" s="479"/>
      <c r="C5" s="479"/>
      <c r="D5" s="479"/>
      <c r="E5" s="479"/>
      <c r="F5" s="479"/>
      <c r="G5" s="479"/>
      <c r="H5" s="479"/>
      <c r="I5" s="479"/>
    </row>
    <row r="6" spans="1:9" ht="18.75" customHeight="1" x14ac:dyDescent="0.25">
      <c r="A6" s="479"/>
      <c r="B6" s="479"/>
      <c r="C6" s="479"/>
      <c r="D6" s="479"/>
      <c r="E6" s="479"/>
      <c r="F6" s="479"/>
      <c r="G6" s="479"/>
      <c r="H6" s="479"/>
      <c r="I6" s="479"/>
    </row>
    <row r="7" spans="1:9" ht="18.75" customHeight="1" x14ac:dyDescent="0.25">
      <c r="A7" s="479"/>
      <c r="B7" s="479"/>
      <c r="C7" s="479"/>
      <c r="D7" s="479"/>
      <c r="E7" s="479"/>
      <c r="F7" s="479"/>
      <c r="G7" s="479"/>
      <c r="H7" s="479"/>
      <c r="I7" s="479"/>
    </row>
    <row r="8" spans="1:9" x14ac:dyDescent="0.25">
      <c r="A8" s="480" t="s">
        <v>41</v>
      </c>
      <c r="B8" s="480"/>
      <c r="C8" s="480"/>
      <c r="D8" s="480"/>
      <c r="E8" s="480"/>
      <c r="F8" s="480"/>
      <c r="G8" s="480"/>
      <c r="H8" s="480"/>
      <c r="I8" s="480"/>
    </row>
    <row r="9" spans="1:9" x14ac:dyDescent="0.25">
      <c r="A9" s="480"/>
      <c r="B9" s="480"/>
      <c r="C9" s="480"/>
      <c r="D9" s="480"/>
      <c r="E9" s="480"/>
      <c r="F9" s="480"/>
      <c r="G9" s="480"/>
      <c r="H9" s="480"/>
      <c r="I9" s="480"/>
    </row>
    <row r="10" spans="1:9" x14ac:dyDescent="0.25">
      <c r="A10" s="480"/>
      <c r="B10" s="480"/>
      <c r="C10" s="480"/>
      <c r="D10" s="480"/>
      <c r="E10" s="480"/>
      <c r="F10" s="480"/>
      <c r="G10" s="480"/>
      <c r="H10" s="480"/>
      <c r="I10" s="480"/>
    </row>
    <row r="11" spans="1:9" x14ac:dyDescent="0.25">
      <c r="A11" s="480"/>
      <c r="B11" s="480"/>
      <c r="C11" s="480"/>
      <c r="D11" s="480"/>
      <c r="E11" s="480"/>
      <c r="F11" s="480"/>
      <c r="G11" s="480"/>
      <c r="H11" s="480"/>
      <c r="I11" s="480"/>
    </row>
    <row r="12" spans="1:9" x14ac:dyDescent="0.25">
      <c r="A12" s="480"/>
      <c r="B12" s="480"/>
      <c r="C12" s="480"/>
      <c r="D12" s="480"/>
      <c r="E12" s="480"/>
      <c r="F12" s="480"/>
      <c r="G12" s="480"/>
      <c r="H12" s="480"/>
      <c r="I12" s="480"/>
    </row>
    <row r="13" spans="1:9" x14ac:dyDescent="0.25">
      <c r="A13" s="480"/>
      <c r="B13" s="480"/>
      <c r="C13" s="480"/>
      <c r="D13" s="480"/>
      <c r="E13" s="480"/>
      <c r="F13" s="480"/>
      <c r="G13" s="480"/>
      <c r="H13" s="480"/>
      <c r="I13" s="480"/>
    </row>
    <row r="14" spans="1:9" x14ac:dyDescent="0.25">
      <c r="A14" s="480"/>
      <c r="B14" s="480"/>
      <c r="C14" s="480"/>
      <c r="D14" s="480"/>
      <c r="E14" s="480"/>
      <c r="F14" s="480"/>
      <c r="G14" s="480"/>
      <c r="H14" s="480"/>
      <c r="I14" s="480"/>
    </row>
    <row r="15" spans="1:9" ht="19.5" customHeight="1" x14ac:dyDescent="0.3">
      <c r="A15" s="97"/>
    </row>
    <row r="16" spans="1:9" ht="19.5" customHeight="1" x14ac:dyDescent="0.3">
      <c r="A16" s="452" t="s">
        <v>26</v>
      </c>
      <c r="B16" s="453"/>
      <c r="C16" s="453"/>
      <c r="D16" s="453"/>
      <c r="E16" s="453"/>
      <c r="F16" s="453"/>
      <c r="G16" s="453"/>
      <c r="H16" s="454"/>
    </row>
    <row r="17" spans="1:14" ht="20.25" customHeight="1" x14ac:dyDescent="0.25">
      <c r="A17" s="455" t="s">
        <v>42</v>
      </c>
      <c r="B17" s="455"/>
      <c r="C17" s="455"/>
      <c r="D17" s="455"/>
      <c r="E17" s="455"/>
      <c r="F17" s="455"/>
      <c r="G17" s="455"/>
      <c r="H17" s="455"/>
    </row>
    <row r="18" spans="1:14" ht="26.25" customHeight="1" x14ac:dyDescent="0.4">
      <c r="A18" s="99" t="s">
        <v>28</v>
      </c>
      <c r="B18" s="456" t="s">
        <v>144</v>
      </c>
      <c r="C18" s="456"/>
      <c r="D18" s="259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">
        <v>145</v>
      </c>
      <c r="C19" s="271">
        <v>29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451" t="s">
        <v>146</v>
      </c>
      <c r="C20" s="451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451" t="s">
        <v>147</v>
      </c>
      <c r="C21" s="451"/>
      <c r="D21" s="451"/>
      <c r="E21" s="451"/>
      <c r="F21" s="451"/>
      <c r="G21" s="451"/>
      <c r="H21" s="451"/>
      <c r="I21" s="103"/>
    </row>
    <row r="22" spans="1:14" ht="26.25" customHeight="1" x14ac:dyDescent="0.4">
      <c r="A22" s="99" t="s">
        <v>32</v>
      </c>
      <c r="B22" s="104">
        <v>42486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v>42550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451" t="s">
        <v>146</v>
      </c>
      <c r="C26" s="451"/>
    </row>
    <row r="27" spans="1:14" ht="26.25" customHeight="1" x14ac:dyDescent="0.4">
      <c r="A27" s="108" t="s">
        <v>43</v>
      </c>
      <c r="B27" s="457" t="s">
        <v>148</v>
      </c>
      <c r="C27" s="457"/>
    </row>
    <row r="28" spans="1:14" ht="27" customHeight="1" x14ac:dyDescent="0.4">
      <c r="A28" s="108" t="s">
        <v>5</v>
      </c>
      <c r="B28" s="109">
        <v>99</v>
      </c>
    </row>
    <row r="29" spans="1:14" s="14" customFormat="1" ht="27" customHeight="1" x14ac:dyDescent="0.4">
      <c r="A29" s="108" t="s">
        <v>44</v>
      </c>
      <c r="B29" s="110">
        <v>0</v>
      </c>
      <c r="C29" s="458" t="s">
        <v>45</v>
      </c>
      <c r="D29" s="459"/>
      <c r="E29" s="459"/>
      <c r="F29" s="459"/>
      <c r="G29" s="460"/>
      <c r="I29" s="111"/>
      <c r="J29" s="111"/>
      <c r="K29" s="111"/>
      <c r="L29" s="111"/>
    </row>
    <row r="30" spans="1:14" s="14" customFormat="1" ht="19.5" customHeight="1" x14ac:dyDescent="0.3">
      <c r="A30" s="108" t="s">
        <v>46</v>
      </c>
      <c r="B30" s="112">
        <f>B28-B29</f>
        <v>99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v>1</v>
      </c>
      <c r="C31" s="461" t="s">
        <v>48</v>
      </c>
      <c r="D31" s="462"/>
      <c r="E31" s="462"/>
      <c r="F31" s="462"/>
      <c r="G31" s="462"/>
      <c r="H31" s="463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1</v>
      </c>
      <c r="C32" s="461" t="s">
        <v>50</v>
      </c>
      <c r="D32" s="462"/>
      <c r="E32" s="462"/>
      <c r="F32" s="462"/>
      <c r="G32" s="462"/>
      <c r="H32" s="463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1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100</v>
      </c>
      <c r="C36" s="98"/>
      <c r="D36" s="464" t="s">
        <v>54</v>
      </c>
      <c r="E36" s="465"/>
      <c r="F36" s="464" t="s">
        <v>55</v>
      </c>
      <c r="G36" s="466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5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50</v>
      </c>
      <c r="C38" s="130">
        <v>1</v>
      </c>
      <c r="D38" s="131">
        <v>0.49809999999999999</v>
      </c>
      <c r="E38" s="132">
        <f>IF(ISBLANK(D38),"-",$D$48/$D$45*D38)</f>
        <v>0.50169789058677949</v>
      </c>
      <c r="F38" s="131">
        <v>0.53480000000000005</v>
      </c>
      <c r="G38" s="133">
        <f>IF(ISBLANK(F38),"-",$D$48/$F$45*F38)</f>
        <v>0.49237163299663311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36">
        <v>0.50049999999999994</v>
      </c>
      <c r="E39" s="137">
        <f>IF(ISBLANK(D39),"-",$D$48/$D$45*D39)</f>
        <v>0.50411522633744854</v>
      </c>
      <c r="F39" s="136">
        <v>0.53339999999999999</v>
      </c>
      <c r="G39" s="138">
        <f>IF(ISBLANK(F39),"-",$D$48/$F$45*F39)</f>
        <v>0.49108270202020204</v>
      </c>
      <c r="I39" s="468">
        <f>ABS((F43/D43*D42)-F42)/D42</f>
        <v>1.3917725143722182E-2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36">
        <v>0.49080000000000001</v>
      </c>
      <c r="E40" s="137">
        <f>IF(ISBLANK(D40),"-",$D$48/$D$45*D40)</f>
        <v>0.49434516101182774</v>
      </c>
      <c r="F40" s="136">
        <v>0.54049999999999998</v>
      </c>
      <c r="G40" s="138">
        <f>IF(ISBLANK(F40),"-",$D$48/$F$45*F40)</f>
        <v>0.49761942340067344</v>
      </c>
      <c r="I40" s="468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0.49646666666666661</v>
      </c>
      <c r="E42" s="147">
        <f>AVERAGE(E38:E41)</f>
        <v>0.50005275931201854</v>
      </c>
      <c r="F42" s="146">
        <f>AVERAGE(F38:F41)</f>
        <v>0.53623333333333334</v>
      </c>
      <c r="G42" s="148">
        <f>AVERAGE(G38:G41)</f>
        <v>0.4936912528058362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14.04</v>
      </c>
      <c r="E43" s="139"/>
      <c r="F43" s="151">
        <v>15.36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14.04</v>
      </c>
      <c r="E44" s="154"/>
      <c r="F44" s="153">
        <f>F43*$B$34</f>
        <v>15.36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1000</v>
      </c>
      <c r="C45" s="152" t="s">
        <v>72</v>
      </c>
      <c r="D45" s="156">
        <f>D44*$B$30/100</f>
        <v>13.899599999999998</v>
      </c>
      <c r="E45" s="157"/>
      <c r="F45" s="156">
        <f>F44*$B$30/100</f>
        <v>15.206399999999999</v>
      </c>
      <c r="H45" s="149"/>
    </row>
    <row r="46" spans="1:14" ht="19.5" customHeight="1" x14ac:dyDescent="0.3">
      <c r="A46" s="469" t="s">
        <v>73</v>
      </c>
      <c r="B46" s="470"/>
      <c r="C46" s="152" t="s">
        <v>74</v>
      </c>
      <c r="D46" s="158">
        <f>D45/$B$45</f>
        <v>1.3899599999999998E-2</v>
      </c>
      <c r="E46" s="159"/>
      <c r="F46" s="160">
        <f>F45/$B$45</f>
        <v>1.5206399999999998E-2</v>
      </c>
      <c r="H46" s="149"/>
    </row>
    <row r="47" spans="1:14" ht="27" customHeight="1" x14ac:dyDescent="0.4">
      <c r="A47" s="471"/>
      <c r="B47" s="472"/>
      <c r="C47" s="161" t="s">
        <v>75</v>
      </c>
      <c r="D47" s="162">
        <v>1.4E-2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14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14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0.49687200605892734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1.0514371138563981E-2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uncoated tablets contains Norethindrone USP 0.35mg</v>
      </c>
    </row>
    <row r="56" spans="1:12" ht="26.25" customHeight="1" x14ac:dyDescent="0.4">
      <c r="A56" s="176" t="s">
        <v>82</v>
      </c>
      <c r="B56" s="177">
        <v>0.35</v>
      </c>
      <c r="C56" s="98" t="str">
        <f>B20</f>
        <v>Norethindrone USP</v>
      </c>
      <c r="H56" s="178"/>
    </row>
    <row r="57" spans="1:12" ht="18.75" x14ac:dyDescent="0.3">
      <c r="A57" s="175" t="s">
        <v>83</v>
      </c>
      <c r="B57" s="260">
        <f>Uniformity!C46</f>
        <v>101.79900000000001</v>
      </c>
      <c r="H57" s="178"/>
    </row>
    <row r="58" spans="1:12" ht="19.5" customHeight="1" x14ac:dyDescent="0.3">
      <c r="H58" s="178"/>
    </row>
    <row r="59" spans="1:12" s="14" customFormat="1" ht="27" customHeight="1" thickBot="1" x14ac:dyDescent="0.45">
      <c r="A59" s="121" t="s">
        <v>84</v>
      </c>
      <c r="B59" s="122">
        <v>20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10</v>
      </c>
      <c r="C60" s="473" t="s">
        <v>89</v>
      </c>
      <c r="D60" s="476">
        <v>202.02</v>
      </c>
      <c r="E60" s="181">
        <v>1</v>
      </c>
      <c r="F60" s="515">
        <v>0.50729999999999997</v>
      </c>
      <c r="G60" s="261">
        <f>IF(ISBLANK(F60),"-",(F60/$D$50*$D$47*$B$68)*($B$57/$D$60))</f>
        <v>0.36013681403934711</v>
      </c>
      <c r="H60" s="182">
        <f t="shared" ref="H60:H71" si="0">IF(ISBLANK(F60),"-",G60/$B$56)</f>
        <v>1.028962325826706</v>
      </c>
      <c r="L60" s="111"/>
    </row>
    <row r="61" spans="1:12" s="14" customFormat="1" ht="26.25" customHeight="1" x14ac:dyDescent="0.4">
      <c r="A61" s="123" t="s">
        <v>90</v>
      </c>
      <c r="B61" s="124">
        <v>25</v>
      </c>
      <c r="C61" s="474"/>
      <c r="D61" s="477"/>
      <c r="E61" s="183">
        <v>2</v>
      </c>
      <c r="F61" s="516">
        <v>0.51</v>
      </c>
      <c r="G61" s="262">
        <f>IF(ISBLANK(F61),"-",(F61/$D$50*$D$47*$B$68)*($B$57/$D$60))</f>
        <v>0.36205356822406271</v>
      </c>
      <c r="H61" s="184">
        <f t="shared" si="0"/>
        <v>1.034438766354465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474"/>
      <c r="D62" s="477"/>
      <c r="E62" s="183">
        <v>3</v>
      </c>
      <c r="F62" s="516">
        <v>0.50739999999999996</v>
      </c>
      <c r="G62" s="262">
        <f>IF(ISBLANK(F62),"-",(F62/$D$50*$D$47*$B$68)*($B$57/$D$60))</f>
        <v>0.36020780493507731</v>
      </c>
      <c r="H62" s="184">
        <f t="shared" si="0"/>
        <v>1.0291651569573639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475"/>
      <c r="D63" s="478"/>
      <c r="E63" s="185">
        <v>4</v>
      </c>
      <c r="F63" s="517"/>
      <c r="G63" s="262" t="str">
        <f>IF(ISBLANK(F63),"-",(F63/$D$50*$D$47*$B$68)*($B$57/$D$60))</f>
        <v>-</v>
      </c>
      <c r="H63" s="184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473" t="s">
        <v>94</v>
      </c>
      <c r="D64" s="476">
        <v>207.4</v>
      </c>
      <c r="E64" s="181">
        <v>1</v>
      </c>
      <c r="F64" s="515">
        <v>0.51229999999999998</v>
      </c>
      <c r="G64" s="263">
        <f>IF(ISBLANK(F64),"-",(F64/$D$50*$D$47*$B$68)*($B$57/$D$64))</f>
        <v>0.35425225752169592</v>
      </c>
      <c r="H64" s="186">
        <f t="shared" si="0"/>
        <v>1.0121493072048455</v>
      </c>
    </row>
    <row r="65" spans="1:8" ht="26.25" customHeight="1" x14ac:dyDescent="0.4">
      <c r="A65" s="123" t="s">
        <v>95</v>
      </c>
      <c r="B65" s="124">
        <v>1</v>
      </c>
      <c r="C65" s="474"/>
      <c r="D65" s="477"/>
      <c r="E65" s="183">
        <v>2</v>
      </c>
      <c r="F65" s="516">
        <v>0.5141</v>
      </c>
      <c r="G65" s="264">
        <f>IF(ISBLANK(F65),"-",(F65/$D$50*$D$47*$B$68)*($B$57/$D$64))</f>
        <v>0.35549694630471185</v>
      </c>
      <c r="H65" s="187">
        <f t="shared" si="0"/>
        <v>1.0157055608706054</v>
      </c>
    </row>
    <row r="66" spans="1:8" ht="26.25" customHeight="1" x14ac:dyDescent="0.4">
      <c r="A66" s="123" t="s">
        <v>96</v>
      </c>
      <c r="B66" s="124">
        <v>1</v>
      </c>
      <c r="C66" s="474"/>
      <c r="D66" s="477"/>
      <c r="E66" s="183">
        <v>3</v>
      </c>
      <c r="F66" s="516">
        <v>0.51229999999999998</v>
      </c>
      <c r="G66" s="264">
        <f>IF(ISBLANK(F66),"-",(F66/$D$50*$D$47*$B$68)*($B$57/$D$64))</f>
        <v>0.35425225752169592</v>
      </c>
      <c r="H66" s="187">
        <f t="shared" si="0"/>
        <v>1.0121493072048455</v>
      </c>
    </row>
    <row r="67" spans="1:8" ht="27" customHeight="1" thickBot="1" x14ac:dyDescent="0.45">
      <c r="A67" s="123" t="s">
        <v>97</v>
      </c>
      <c r="B67" s="124">
        <v>1</v>
      </c>
      <c r="C67" s="475"/>
      <c r="D67" s="478"/>
      <c r="E67" s="185">
        <v>4</v>
      </c>
      <c r="F67" s="517"/>
      <c r="G67" s="264" t="str">
        <f>IF(ISBLANK(F67),"-",(F67/$D$50*$D$47*$B$68)*($B$57/$D$64))</f>
        <v>-</v>
      </c>
      <c r="H67" s="187" t="str">
        <f t="shared" si="0"/>
        <v>-</v>
      </c>
    </row>
    <row r="68" spans="1:8" ht="26.25" customHeight="1" x14ac:dyDescent="0.4">
      <c r="A68" s="123" t="s">
        <v>98</v>
      </c>
      <c r="B68" s="188">
        <f>(B67/B66)*(B65/B64)*(B63/B62)*(B61/B60)*B59</f>
        <v>50</v>
      </c>
      <c r="C68" s="473" t="s">
        <v>99</v>
      </c>
      <c r="D68" s="476">
        <v>203.51</v>
      </c>
      <c r="E68" s="181">
        <v>1</v>
      </c>
      <c r="F68" s="515">
        <v>0.49909999999999999</v>
      </c>
      <c r="G68" s="518">
        <f t="shared" ref="G68:G71" si="1">IF(ISBLANK(F68),"-",(F68/$D$50*$D$47*$B$68)*($B$57/$D$64))</f>
        <v>0.34512453977957919</v>
      </c>
      <c r="H68" s="521">
        <f t="shared" si="0"/>
        <v>0.98607011365594055</v>
      </c>
    </row>
    <row r="69" spans="1:8" ht="27" customHeight="1" thickBot="1" x14ac:dyDescent="0.45">
      <c r="A69" s="171" t="s">
        <v>100</v>
      </c>
      <c r="B69" s="189">
        <f>(D47*B68)/B56*B57</f>
        <v>203.59800000000007</v>
      </c>
      <c r="C69" s="474"/>
      <c r="D69" s="477"/>
      <c r="E69" s="183">
        <v>2</v>
      </c>
      <c r="F69" s="516">
        <v>0.49909999999999999</v>
      </c>
      <c r="G69" s="519">
        <f t="shared" si="1"/>
        <v>0.34512453977957919</v>
      </c>
      <c r="H69" s="522">
        <f t="shared" si="0"/>
        <v>0.98607011365594055</v>
      </c>
    </row>
    <row r="70" spans="1:8" ht="26.25" customHeight="1" x14ac:dyDescent="0.4">
      <c r="A70" s="486" t="s">
        <v>73</v>
      </c>
      <c r="B70" s="487"/>
      <c r="C70" s="474"/>
      <c r="D70" s="477"/>
      <c r="E70" s="183">
        <v>3</v>
      </c>
      <c r="F70" s="516"/>
      <c r="G70" s="519" t="str">
        <f t="shared" si="1"/>
        <v>-</v>
      </c>
      <c r="H70" s="522" t="str">
        <f t="shared" si="0"/>
        <v>-</v>
      </c>
    </row>
    <row r="71" spans="1:8" ht="27" customHeight="1" thickBot="1" x14ac:dyDescent="0.45">
      <c r="A71" s="488"/>
      <c r="B71" s="489"/>
      <c r="C71" s="485"/>
      <c r="D71" s="478"/>
      <c r="E71" s="185">
        <v>4</v>
      </c>
      <c r="F71" s="517"/>
      <c r="G71" s="520" t="str">
        <f t="shared" si="1"/>
        <v>-</v>
      </c>
      <c r="H71" s="523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66</v>
      </c>
      <c r="G72" s="269">
        <f>AVERAGE(G60:G71)</f>
        <v>0.35458109101321861</v>
      </c>
      <c r="H72" s="193">
        <f>AVERAGE(H60:H71)</f>
        <v>1.0130888314663391</v>
      </c>
    </row>
    <row r="73" spans="1:8" ht="26.25" customHeight="1" x14ac:dyDescent="0.4">
      <c r="C73" s="190"/>
      <c r="D73" s="190"/>
      <c r="E73" s="190"/>
      <c r="F73" s="194" t="s">
        <v>79</v>
      </c>
      <c r="G73" s="265">
        <f>STDEV(G60:G71)/G72</f>
        <v>1.8409475002502763E-2</v>
      </c>
      <c r="H73" s="265">
        <f>STDEV(H60:H71)/H72</f>
        <v>1.8409475002502784E-2</v>
      </c>
    </row>
    <row r="74" spans="1:8" ht="27" customHeight="1" x14ac:dyDescent="0.4">
      <c r="A74" s="190"/>
      <c r="B74" s="190"/>
      <c r="C74" s="191"/>
      <c r="D74" s="191"/>
      <c r="E74" s="195"/>
      <c r="F74" s="196" t="s">
        <v>15</v>
      </c>
      <c r="G74" s="197">
        <f>COUNT(G60:G71)</f>
        <v>8</v>
      </c>
      <c r="H74" s="197">
        <f>COUNT(H60:H71)</f>
        <v>8</v>
      </c>
    </row>
    <row r="76" spans="1:8" ht="26.25" customHeight="1" x14ac:dyDescent="0.4">
      <c r="A76" s="107" t="s">
        <v>101</v>
      </c>
      <c r="B76" s="198" t="s">
        <v>102</v>
      </c>
      <c r="C76" s="481" t="str">
        <f>B20</f>
        <v>Norethindrone USP</v>
      </c>
      <c r="D76" s="481"/>
      <c r="E76" s="199" t="s">
        <v>103</v>
      </c>
      <c r="F76" s="199"/>
      <c r="G76" s="200">
        <f>H72</f>
        <v>1.0130888314663391</v>
      </c>
      <c r="H76" s="201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467" t="str">
        <f>B26</f>
        <v>Norethindrone USP</v>
      </c>
      <c r="C79" s="467"/>
    </row>
    <row r="80" spans="1:8" ht="26.25" customHeight="1" x14ac:dyDescent="0.4">
      <c r="A80" s="108" t="s">
        <v>43</v>
      </c>
      <c r="B80" s="467" t="str">
        <f>B27</f>
        <v>N16-1</v>
      </c>
      <c r="C80" s="467"/>
    </row>
    <row r="81" spans="1:12" ht="27" customHeight="1" x14ac:dyDescent="0.4">
      <c r="A81" s="108" t="s">
        <v>5</v>
      </c>
      <c r="B81" s="202">
        <f>B28</f>
        <v>99</v>
      </c>
    </row>
    <row r="82" spans="1:12" s="14" customFormat="1" ht="27" customHeight="1" x14ac:dyDescent="0.4">
      <c r="A82" s="108" t="s">
        <v>44</v>
      </c>
      <c r="B82" s="110">
        <v>0</v>
      </c>
      <c r="C82" s="458" t="s">
        <v>45</v>
      </c>
      <c r="D82" s="459"/>
      <c r="E82" s="459"/>
      <c r="F82" s="459"/>
      <c r="G82" s="460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v>1</v>
      </c>
      <c r="C84" s="461" t="s">
        <v>106</v>
      </c>
      <c r="D84" s="462"/>
      <c r="E84" s="462"/>
      <c r="F84" s="462"/>
      <c r="G84" s="462"/>
      <c r="H84" s="463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v>1</v>
      </c>
      <c r="C85" s="461" t="s">
        <v>107</v>
      </c>
      <c r="D85" s="462"/>
      <c r="E85" s="462"/>
      <c r="F85" s="462"/>
      <c r="G85" s="462"/>
      <c r="H85" s="463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1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100</v>
      </c>
      <c r="D89" s="203" t="s">
        <v>54</v>
      </c>
      <c r="E89" s="204"/>
      <c r="F89" s="464" t="s">
        <v>55</v>
      </c>
      <c r="G89" s="466"/>
    </row>
    <row r="90" spans="1:12" ht="27" customHeight="1" x14ac:dyDescent="0.4">
      <c r="A90" s="123" t="s">
        <v>56</v>
      </c>
      <c r="B90" s="124">
        <v>5</v>
      </c>
      <c r="C90" s="205" t="s">
        <v>57</v>
      </c>
      <c r="D90" s="126" t="s">
        <v>58</v>
      </c>
      <c r="E90" s="127" t="s">
        <v>59</v>
      </c>
      <c r="F90" s="126" t="s">
        <v>58</v>
      </c>
      <c r="G90" s="206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50</v>
      </c>
      <c r="C91" s="207">
        <v>1</v>
      </c>
      <c r="D91" s="131">
        <v>1902555</v>
      </c>
      <c r="E91" s="273">
        <f>IF(ISBLANK(D91),"-",$D$101/$D$98*D91)</f>
        <v>1916297.5912975913</v>
      </c>
      <c r="F91" s="131">
        <v>2060196</v>
      </c>
      <c r="G91" s="274">
        <f>IF(ISBLANK(F91),"-",$D$101/$F$98*F91)</f>
        <v>1896750.3156565658</v>
      </c>
      <c r="I91" s="134"/>
    </row>
    <row r="92" spans="1:12" ht="26.25" customHeight="1" x14ac:dyDescent="0.4">
      <c r="A92" s="123" t="s">
        <v>62</v>
      </c>
      <c r="B92" s="124">
        <v>5</v>
      </c>
      <c r="C92" s="191">
        <v>2</v>
      </c>
      <c r="D92" s="136">
        <v>1908137</v>
      </c>
      <c r="E92" s="275">
        <f>IF(ISBLANK(D92),"-",$D$101/$D$98*D92)</f>
        <v>1921919.9113643558</v>
      </c>
      <c r="F92" s="136">
        <v>2060141</v>
      </c>
      <c r="G92" s="276">
        <f>IF(ISBLANK(F92),"-",$D$101/$F$98*F92)</f>
        <v>1896699.6790824917</v>
      </c>
      <c r="I92" s="468">
        <f>ABS((F96/D96*D95)-F95)/D95</f>
        <v>1.3111152182201175E-2</v>
      </c>
    </row>
    <row r="93" spans="1:12" ht="26.25" customHeight="1" x14ac:dyDescent="0.4">
      <c r="A93" s="123" t="s">
        <v>63</v>
      </c>
      <c r="B93" s="124">
        <v>100</v>
      </c>
      <c r="C93" s="191">
        <v>3</v>
      </c>
      <c r="D93" s="136">
        <v>1910470</v>
      </c>
      <c r="E93" s="275">
        <f>IF(ISBLANK(D93),"-",$D$101/$D$98*D93)</f>
        <v>1924269.7631586522</v>
      </c>
      <c r="F93" s="136">
        <v>2063701</v>
      </c>
      <c r="G93" s="276">
        <f>IF(ISBLANK(F93),"-",$D$101/$F$98*F93)</f>
        <v>1899977.246422559</v>
      </c>
      <c r="I93" s="468"/>
    </row>
    <row r="94" spans="1:12" ht="27" customHeight="1" x14ac:dyDescent="0.4">
      <c r="A94" s="123" t="s">
        <v>64</v>
      </c>
      <c r="B94" s="124">
        <v>1</v>
      </c>
      <c r="C94" s="208">
        <v>4</v>
      </c>
      <c r="D94" s="141"/>
      <c r="E94" s="142" t="str">
        <f>IF(ISBLANK(D94),"-",$D$101/$D$98*D94)</f>
        <v>-</v>
      </c>
      <c r="F94" s="209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0" t="s">
        <v>66</v>
      </c>
      <c r="D95" s="211">
        <f>AVERAGE(D91:D94)</f>
        <v>1907054</v>
      </c>
      <c r="E95" s="147">
        <f>AVERAGE(E91:E94)</f>
        <v>1920829.0886068663</v>
      </c>
      <c r="F95" s="212">
        <f>AVERAGE(F91:F94)</f>
        <v>2061346</v>
      </c>
      <c r="G95" s="213">
        <f>AVERAGE(G91:G94)</f>
        <v>1897809.0803872056</v>
      </c>
    </row>
    <row r="96" spans="1:12" ht="26.25" customHeight="1" x14ac:dyDescent="0.4">
      <c r="A96" s="123" t="s">
        <v>67</v>
      </c>
      <c r="B96" s="109">
        <v>1</v>
      </c>
      <c r="C96" s="214" t="s">
        <v>108</v>
      </c>
      <c r="D96" s="215">
        <v>14.04</v>
      </c>
      <c r="E96" s="139"/>
      <c r="F96" s="151">
        <v>15.36</v>
      </c>
    </row>
    <row r="97" spans="1:10" ht="26.25" customHeight="1" x14ac:dyDescent="0.4">
      <c r="A97" s="123" t="s">
        <v>69</v>
      </c>
      <c r="B97" s="109">
        <v>1</v>
      </c>
      <c r="C97" s="216" t="s">
        <v>109</v>
      </c>
      <c r="D97" s="217">
        <f>D96*$B$87</f>
        <v>14.04</v>
      </c>
      <c r="E97" s="154"/>
      <c r="F97" s="153">
        <f>F96*$B$87</f>
        <v>15.36</v>
      </c>
    </row>
    <row r="98" spans="1:10" ht="19.5" customHeight="1" x14ac:dyDescent="0.3">
      <c r="A98" s="123" t="s">
        <v>71</v>
      </c>
      <c r="B98" s="218">
        <f>(B97/B96)*(B95/B94)*(B93/B92)*(B91/B90)*B89</f>
        <v>20000</v>
      </c>
      <c r="C98" s="216" t="s">
        <v>110</v>
      </c>
      <c r="D98" s="219">
        <f>D97*$B$83/100</f>
        <v>13.899599999999998</v>
      </c>
      <c r="E98" s="157"/>
      <c r="F98" s="156">
        <f>F97*$B$83/100</f>
        <v>15.206399999999999</v>
      </c>
    </row>
    <row r="99" spans="1:10" ht="19.5" customHeight="1" x14ac:dyDescent="0.3">
      <c r="A99" s="469" t="s">
        <v>73</v>
      </c>
      <c r="B99" s="483"/>
      <c r="C99" s="216" t="s">
        <v>111</v>
      </c>
      <c r="D99" s="220">
        <f>D98/$B$98</f>
        <v>6.9497999999999988E-4</v>
      </c>
      <c r="E99" s="157"/>
      <c r="F99" s="160">
        <f>F98/$B$98</f>
        <v>7.6031999999999988E-4</v>
      </c>
      <c r="G99" s="221"/>
      <c r="H99" s="149"/>
    </row>
    <row r="100" spans="1:10" ht="19.5" customHeight="1" x14ac:dyDescent="0.3">
      <c r="A100" s="471"/>
      <c r="B100" s="484"/>
      <c r="C100" s="216" t="s">
        <v>75</v>
      </c>
      <c r="D100" s="222">
        <f>$B$56/$B$116</f>
        <v>6.9999999999999999E-4</v>
      </c>
      <c r="F100" s="165"/>
      <c r="G100" s="223"/>
      <c r="H100" s="149"/>
    </row>
    <row r="101" spans="1:10" ht="18.75" x14ac:dyDescent="0.3">
      <c r="C101" s="216" t="s">
        <v>76</v>
      </c>
      <c r="D101" s="217">
        <f>D100*$B$98</f>
        <v>14</v>
      </c>
      <c r="F101" s="165"/>
      <c r="G101" s="221"/>
      <c r="H101" s="149"/>
    </row>
    <row r="102" spans="1:10" ht="19.5" customHeight="1" x14ac:dyDescent="0.3">
      <c r="C102" s="224" t="s">
        <v>77</v>
      </c>
      <c r="D102" s="225">
        <f>D101/B34</f>
        <v>14</v>
      </c>
      <c r="F102" s="169"/>
      <c r="G102" s="221"/>
      <c r="H102" s="149"/>
      <c r="J102" s="226"/>
    </row>
    <row r="103" spans="1:10" ht="18.75" x14ac:dyDescent="0.3">
      <c r="C103" s="227" t="s">
        <v>112</v>
      </c>
      <c r="D103" s="228">
        <f>AVERAGE(E91:E94,G91:G94)</f>
        <v>1909319.0844970362</v>
      </c>
      <c r="F103" s="169"/>
      <c r="G103" s="229"/>
      <c r="H103" s="149"/>
      <c r="J103" s="230"/>
    </row>
    <row r="104" spans="1:10" ht="18.75" x14ac:dyDescent="0.3">
      <c r="C104" s="194" t="s">
        <v>79</v>
      </c>
      <c r="D104" s="231">
        <f>STDEV(E91:E94,G91:G94)/D103</f>
        <v>6.7703137264693647E-3</v>
      </c>
      <c r="F104" s="169"/>
      <c r="G104" s="221"/>
      <c r="H104" s="149"/>
      <c r="J104" s="230"/>
    </row>
    <row r="105" spans="1:10" ht="19.5" customHeight="1" x14ac:dyDescent="0.3">
      <c r="C105" s="196" t="s">
        <v>15</v>
      </c>
      <c r="D105" s="232">
        <f>COUNT(E91:E94,G91:G94)</f>
        <v>6</v>
      </c>
      <c r="F105" s="169"/>
      <c r="G105" s="221"/>
      <c r="H105" s="149"/>
      <c r="J105" s="230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33" t="s">
        <v>114</v>
      </c>
      <c r="D107" s="234" t="s">
        <v>58</v>
      </c>
      <c r="E107" s="235" t="s">
        <v>115</v>
      </c>
      <c r="F107" s="236" t="s">
        <v>116</v>
      </c>
    </row>
    <row r="108" spans="1:10" ht="26.25" customHeight="1" x14ac:dyDescent="0.4">
      <c r="A108" s="123" t="s">
        <v>117</v>
      </c>
      <c r="B108" s="124">
        <v>1</v>
      </c>
      <c r="C108" s="237">
        <v>1</v>
      </c>
      <c r="D108" s="280">
        <v>1893427</v>
      </c>
      <c r="E108" s="266">
        <f t="shared" ref="E108:E113" si="2">IF(ISBLANK(D108),"-",D108/$D$103*$D$100*$B$116)</f>
        <v>0.3470867993625969</v>
      </c>
      <c r="F108" s="238">
        <f t="shared" ref="F108:F113" si="3">IF(ISBLANK(D108), "-", E108/$B$56)</f>
        <v>0.99167656960741979</v>
      </c>
    </row>
    <row r="109" spans="1:10" ht="26.25" customHeight="1" x14ac:dyDescent="0.4">
      <c r="A109" s="123" t="s">
        <v>90</v>
      </c>
      <c r="B109" s="124">
        <v>1</v>
      </c>
      <c r="C109" s="237">
        <v>2</v>
      </c>
      <c r="D109" s="280">
        <v>1895880</v>
      </c>
      <c r="E109" s="267">
        <f t="shared" si="2"/>
        <v>0.34753646228534829</v>
      </c>
      <c r="F109" s="239">
        <f t="shared" si="3"/>
        <v>0.99296132081528088</v>
      </c>
    </row>
    <row r="110" spans="1:10" ht="26.25" customHeight="1" x14ac:dyDescent="0.4">
      <c r="A110" s="123" t="s">
        <v>91</v>
      </c>
      <c r="B110" s="124">
        <v>1</v>
      </c>
      <c r="C110" s="237">
        <v>3</v>
      </c>
      <c r="D110" s="280">
        <v>1876375</v>
      </c>
      <c r="E110" s="267">
        <f t="shared" si="2"/>
        <v>0.34396097296277744</v>
      </c>
      <c r="F110" s="239">
        <f t="shared" si="3"/>
        <v>0.98274563703650708</v>
      </c>
    </row>
    <row r="111" spans="1:10" ht="26.25" customHeight="1" x14ac:dyDescent="0.4">
      <c r="A111" s="123" t="s">
        <v>92</v>
      </c>
      <c r="B111" s="124">
        <v>1</v>
      </c>
      <c r="C111" s="237">
        <v>4</v>
      </c>
      <c r="D111" s="280">
        <v>1878238</v>
      </c>
      <c r="E111" s="267">
        <f t="shared" si="2"/>
        <v>0.34430248214544595</v>
      </c>
      <c r="F111" s="239">
        <f t="shared" si="3"/>
        <v>0.98372137755841704</v>
      </c>
    </row>
    <row r="112" spans="1:10" ht="26.25" customHeight="1" x14ac:dyDescent="0.4">
      <c r="A112" s="123" t="s">
        <v>93</v>
      </c>
      <c r="B112" s="124">
        <v>1</v>
      </c>
      <c r="C112" s="237">
        <v>5</v>
      </c>
      <c r="D112" s="280">
        <v>1903123</v>
      </c>
      <c r="E112" s="267">
        <f t="shared" si="2"/>
        <v>0.34886418692843374</v>
      </c>
      <c r="F112" s="239">
        <f t="shared" si="3"/>
        <v>0.99675481979552505</v>
      </c>
    </row>
    <row r="113" spans="1:10" ht="26.25" customHeight="1" x14ac:dyDescent="0.4">
      <c r="A113" s="123" t="s">
        <v>95</v>
      </c>
      <c r="B113" s="124">
        <v>1</v>
      </c>
      <c r="C113" s="240">
        <v>6</v>
      </c>
      <c r="D113" s="281">
        <v>1877698</v>
      </c>
      <c r="E113" s="268">
        <f t="shared" si="2"/>
        <v>0.34420349397655653</v>
      </c>
      <c r="F113" s="241">
        <f t="shared" si="3"/>
        <v>0.98343855421873305</v>
      </c>
    </row>
    <row r="114" spans="1:10" ht="26.25" customHeight="1" x14ac:dyDescent="0.4">
      <c r="A114" s="123" t="s">
        <v>96</v>
      </c>
      <c r="B114" s="124">
        <v>1</v>
      </c>
      <c r="C114" s="237"/>
      <c r="D114" s="191"/>
      <c r="E114" s="97"/>
      <c r="F114" s="242"/>
    </row>
    <row r="115" spans="1:10" ht="26.25" customHeight="1" x14ac:dyDescent="0.4">
      <c r="A115" s="123" t="s">
        <v>97</v>
      </c>
      <c r="B115" s="124">
        <v>1</v>
      </c>
      <c r="C115" s="237"/>
      <c r="D115" s="243" t="s">
        <v>66</v>
      </c>
      <c r="E115" s="270">
        <f>AVERAGE(E108:E113)</f>
        <v>0.34599239961019307</v>
      </c>
      <c r="F115" s="244">
        <f>AVERAGE(F108:F113)</f>
        <v>0.98854971317198048</v>
      </c>
    </row>
    <row r="116" spans="1:10" ht="27" customHeight="1" x14ac:dyDescent="0.4">
      <c r="A116" s="123" t="s">
        <v>98</v>
      </c>
      <c r="B116" s="155">
        <f>(B115/B114)*(B113/B112)*(B111/B110)*(B109/B108)*B107</f>
        <v>500</v>
      </c>
      <c r="C116" s="245"/>
      <c r="D116" s="210" t="s">
        <v>79</v>
      </c>
      <c r="E116" s="246">
        <f>STDEV(E108:E113)/E115</f>
        <v>6.0642241462676577E-3</v>
      </c>
      <c r="F116" s="246">
        <f>STDEV(F108:F113)/F115</f>
        <v>6.0642241462676516E-3</v>
      </c>
      <c r="I116" s="97"/>
    </row>
    <row r="117" spans="1:10" ht="27" customHeight="1" x14ac:dyDescent="0.4">
      <c r="A117" s="469" t="s">
        <v>73</v>
      </c>
      <c r="B117" s="470"/>
      <c r="C117" s="247"/>
      <c r="D117" s="248" t="s">
        <v>15</v>
      </c>
      <c r="E117" s="249">
        <f>COUNT(E108:E113)</f>
        <v>6</v>
      </c>
      <c r="F117" s="249">
        <f>COUNT(F108:F113)</f>
        <v>6</v>
      </c>
      <c r="I117" s="97"/>
      <c r="J117" s="230"/>
    </row>
    <row r="118" spans="1:10" ht="19.5" customHeight="1" x14ac:dyDescent="0.3">
      <c r="A118" s="471"/>
      <c r="B118" s="472"/>
      <c r="C118" s="97"/>
      <c r="D118" s="97"/>
      <c r="E118" s="97"/>
      <c r="F118" s="191"/>
      <c r="G118" s="97"/>
      <c r="H118" s="97"/>
      <c r="I118" s="97"/>
    </row>
    <row r="119" spans="1:10" ht="18.75" x14ac:dyDescent="0.3">
      <c r="A119" s="258"/>
      <c r="B119" s="119"/>
      <c r="C119" s="97"/>
      <c r="D119" s="97"/>
      <c r="E119" s="97"/>
      <c r="F119" s="191"/>
      <c r="G119" s="97"/>
      <c r="H119" s="97"/>
      <c r="I119" s="97"/>
    </row>
    <row r="120" spans="1:10" ht="26.25" customHeight="1" x14ac:dyDescent="0.4">
      <c r="A120" s="107" t="s">
        <v>101</v>
      </c>
      <c r="B120" s="198" t="s">
        <v>118</v>
      </c>
      <c r="C120" s="481" t="str">
        <f>B20</f>
        <v>Norethindrone USP</v>
      </c>
      <c r="D120" s="481"/>
      <c r="E120" s="199" t="s">
        <v>119</v>
      </c>
      <c r="F120" s="199"/>
      <c r="G120" s="200">
        <f>F115</f>
        <v>0.98854971317198048</v>
      </c>
      <c r="H120" s="97"/>
      <c r="I120" s="97"/>
    </row>
    <row r="121" spans="1:10" ht="19.5" customHeight="1" x14ac:dyDescent="0.3">
      <c r="A121" s="250"/>
      <c r="B121" s="250"/>
      <c r="C121" s="251"/>
      <c r="D121" s="251"/>
      <c r="E121" s="251"/>
      <c r="F121" s="251"/>
      <c r="G121" s="251"/>
      <c r="H121" s="251"/>
    </row>
    <row r="122" spans="1:10" ht="18.75" x14ac:dyDescent="0.3">
      <c r="B122" s="482" t="s">
        <v>21</v>
      </c>
      <c r="C122" s="482"/>
      <c r="E122" s="205" t="s">
        <v>22</v>
      </c>
      <c r="F122" s="252"/>
      <c r="G122" s="482" t="s">
        <v>23</v>
      </c>
      <c r="H122" s="482"/>
    </row>
    <row r="123" spans="1:10" ht="69.95" customHeight="1" x14ac:dyDescent="0.3">
      <c r="A123" s="253" t="s">
        <v>24</v>
      </c>
      <c r="B123" s="255" t="s">
        <v>142</v>
      </c>
      <c r="C123" s="254"/>
      <c r="E123" s="277"/>
      <c r="F123" s="97"/>
      <c r="G123" s="255"/>
      <c r="H123" s="255"/>
    </row>
    <row r="124" spans="1:10" ht="69.95" customHeight="1" x14ac:dyDescent="0.3">
      <c r="A124" s="253" t="s">
        <v>25</v>
      </c>
      <c r="B124" s="256"/>
      <c r="C124" s="256"/>
      <c r="E124" s="256"/>
      <c r="F124" s="97"/>
      <c r="G124" s="257"/>
      <c r="H124" s="257"/>
    </row>
    <row r="125" spans="1:10" ht="18.75" x14ac:dyDescent="0.3">
      <c r="A125" s="190"/>
      <c r="B125" s="190"/>
      <c r="C125" s="191"/>
      <c r="D125" s="191"/>
      <c r="E125" s="191"/>
      <c r="F125" s="195"/>
      <c r="G125" s="191"/>
      <c r="H125" s="191"/>
      <c r="I125" s="97"/>
    </row>
    <row r="126" spans="1:10" ht="18.75" x14ac:dyDescent="0.3">
      <c r="A126" s="190"/>
      <c r="B126" s="190"/>
      <c r="C126" s="191"/>
      <c r="D126" s="191"/>
      <c r="E126" s="191"/>
      <c r="F126" s="195"/>
      <c r="G126" s="191"/>
      <c r="H126" s="191"/>
      <c r="I126" s="97"/>
    </row>
    <row r="127" spans="1:10" ht="18.75" x14ac:dyDescent="0.3">
      <c r="A127" s="190"/>
      <c r="B127" s="190"/>
      <c r="C127" s="191"/>
      <c r="D127" s="191"/>
      <c r="E127" s="191"/>
      <c r="F127" s="195"/>
      <c r="G127" s="191"/>
      <c r="H127" s="191"/>
      <c r="I127" s="97"/>
    </row>
    <row r="128" spans="1:10" ht="18.75" x14ac:dyDescent="0.3">
      <c r="A128" s="190"/>
      <c r="B128" s="190"/>
      <c r="C128" s="191"/>
      <c r="D128" s="191"/>
      <c r="E128" s="191"/>
      <c r="F128" s="195"/>
      <c r="G128" s="191"/>
      <c r="H128" s="191"/>
      <c r="I128" s="97"/>
    </row>
    <row r="129" spans="1:9" ht="18.75" x14ac:dyDescent="0.3">
      <c r="A129" s="190"/>
      <c r="B129" s="190"/>
      <c r="C129" s="191"/>
      <c r="D129" s="191"/>
      <c r="E129" s="191"/>
      <c r="F129" s="195"/>
      <c r="G129" s="191"/>
      <c r="H129" s="191"/>
      <c r="I129" s="97"/>
    </row>
    <row r="130" spans="1:9" ht="18.75" x14ac:dyDescent="0.3">
      <c r="A130" s="190"/>
      <c r="B130" s="190"/>
      <c r="C130" s="191"/>
      <c r="D130" s="191"/>
      <c r="E130" s="191"/>
      <c r="F130" s="195"/>
      <c r="G130" s="191"/>
      <c r="H130" s="191"/>
      <c r="I130" s="97"/>
    </row>
    <row r="131" spans="1:9" ht="18.75" x14ac:dyDescent="0.3">
      <c r="A131" s="190"/>
      <c r="B131" s="190"/>
      <c r="C131" s="191"/>
      <c r="D131" s="191"/>
      <c r="E131" s="191"/>
      <c r="F131" s="195"/>
      <c r="G131" s="191"/>
      <c r="H131" s="191"/>
      <c r="I131" s="97"/>
    </row>
    <row r="132" spans="1:9" ht="18.75" x14ac:dyDescent="0.3">
      <c r="A132" s="190"/>
      <c r="B132" s="190"/>
      <c r="C132" s="191"/>
      <c r="D132" s="191"/>
      <c r="E132" s="191"/>
      <c r="F132" s="195"/>
      <c r="G132" s="191"/>
      <c r="H132" s="191"/>
      <c r="I132" s="97"/>
    </row>
    <row r="133" spans="1:9" ht="18.75" x14ac:dyDescent="0.3">
      <c r="A133" s="190"/>
      <c r="B133" s="190"/>
      <c r="C133" s="191"/>
      <c r="D133" s="191"/>
      <c r="E133" s="191"/>
      <c r="F133" s="195"/>
      <c r="G133" s="191"/>
      <c r="H133" s="191"/>
      <c r="I133" s="97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1" priority="1" operator="greaterThan">
      <formula>0.02</formula>
    </cfRule>
  </conditionalFormatting>
  <conditionalFormatting sqref="D51">
    <cfRule type="cellIs" dxfId="10" priority="2" operator="greaterThan">
      <formula>0.02</formula>
    </cfRule>
  </conditionalFormatting>
  <conditionalFormatting sqref="G73">
    <cfRule type="cellIs" dxfId="9" priority="3" operator="greaterThan">
      <formula>0.02</formula>
    </cfRule>
  </conditionalFormatting>
  <conditionalFormatting sqref="H73">
    <cfRule type="cellIs" dxfId="8" priority="4" operator="greaterThan">
      <formula>0.02</formula>
    </cfRule>
  </conditionalFormatting>
  <conditionalFormatting sqref="D104">
    <cfRule type="cellIs" dxfId="7" priority="5" operator="greaterThan">
      <formula>0.02</formula>
    </cfRule>
  </conditionalFormatting>
  <conditionalFormatting sqref="I39">
    <cfRule type="cellIs" dxfId="6" priority="6" operator="lessThanOrEqual">
      <formula>0.02</formula>
    </cfRule>
  </conditionalFormatting>
  <conditionalFormatting sqref="I39">
    <cfRule type="cellIs" dxfId="5" priority="7" operator="greaterThan">
      <formula>0.02</formula>
    </cfRule>
  </conditionalFormatting>
  <conditionalFormatting sqref="I92">
    <cfRule type="cellIs" dxfId="4" priority="8" operator="lessThanOrEqual">
      <formula>0.02</formula>
    </cfRule>
  </conditionalFormatting>
  <conditionalFormatting sqref="I92">
    <cfRule type="cellIs" dxfId="3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view="pageBreakPreview" topLeftCell="A70" zoomScale="60" zoomScaleNormal="70" workbookViewId="0">
      <selection activeCell="D79" sqref="D79"/>
    </sheetView>
  </sheetViews>
  <sheetFormatPr defaultRowHeight="12.75" x14ac:dyDescent="0.2"/>
  <cols>
    <col min="1" max="1" width="54.85546875" style="282" customWidth="1"/>
    <col min="2" max="2" width="39.42578125" style="282" customWidth="1"/>
    <col min="3" max="3" width="42.5703125" style="282" customWidth="1"/>
    <col min="4" max="4" width="21" style="282" customWidth="1"/>
    <col min="5" max="5" width="28.28515625" style="282" customWidth="1"/>
    <col min="6" max="6" width="23.85546875" style="282" customWidth="1"/>
    <col min="7" max="7" width="26" style="282" customWidth="1"/>
    <col min="8" max="16384" width="9.140625" style="282"/>
  </cols>
  <sheetData>
    <row r="1" spans="1:7" x14ac:dyDescent="0.2">
      <c r="A1" s="509" t="s">
        <v>40</v>
      </c>
      <c r="B1" s="509"/>
      <c r="C1" s="509"/>
      <c r="D1" s="509"/>
      <c r="E1" s="509"/>
      <c r="F1" s="509"/>
      <c r="G1" s="509"/>
    </row>
    <row r="2" spans="1:7" x14ac:dyDescent="0.2">
      <c r="A2" s="509"/>
      <c r="B2" s="509"/>
      <c r="C2" s="509"/>
      <c r="D2" s="509"/>
      <c r="E2" s="509"/>
      <c r="F2" s="509"/>
      <c r="G2" s="509"/>
    </row>
    <row r="3" spans="1:7" x14ac:dyDescent="0.2">
      <c r="A3" s="509"/>
      <c r="B3" s="509"/>
      <c r="C3" s="509"/>
      <c r="D3" s="509"/>
      <c r="E3" s="509"/>
      <c r="F3" s="509"/>
      <c r="G3" s="509"/>
    </row>
    <row r="4" spans="1:7" x14ac:dyDescent="0.2">
      <c r="A4" s="509"/>
      <c r="B4" s="509"/>
      <c r="C4" s="509"/>
      <c r="D4" s="509"/>
      <c r="E4" s="509"/>
      <c r="F4" s="509"/>
      <c r="G4" s="509"/>
    </row>
    <row r="5" spans="1:7" x14ac:dyDescent="0.2">
      <c r="A5" s="509"/>
      <c r="B5" s="509"/>
      <c r="C5" s="509"/>
      <c r="D5" s="509"/>
      <c r="E5" s="509"/>
      <c r="F5" s="509"/>
      <c r="G5" s="509"/>
    </row>
    <row r="6" spans="1:7" x14ac:dyDescent="0.2">
      <c r="A6" s="509"/>
      <c r="B6" s="509"/>
      <c r="C6" s="509"/>
      <c r="D6" s="509"/>
      <c r="E6" s="509"/>
      <c r="F6" s="509"/>
      <c r="G6" s="509"/>
    </row>
    <row r="7" spans="1:7" x14ac:dyDescent="0.2">
      <c r="A7" s="509"/>
      <c r="B7" s="509"/>
      <c r="C7" s="509"/>
      <c r="D7" s="509"/>
      <c r="E7" s="509"/>
      <c r="F7" s="509"/>
      <c r="G7" s="509"/>
    </row>
    <row r="8" spans="1:7" x14ac:dyDescent="0.2">
      <c r="A8" s="510" t="s">
        <v>41</v>
      </c>
      <c r="B8" s="510"/>
      <c r="C8" s="510"/>
      <c r="D8" s="510"/>
      <c r="E8" s="510"/>
      <c r="F8" s="510"/>
      <c r="G8" s="510"/>
    </row>
    <row r="9" spans="1:7" x14ac:dyDescent="0.2">
      <c r="A9" s="510"/>
      <c r="B9" s="510"/>
      <c r="C9" s="510"/>
      <c r="D9" s="510"/>
      <c r="E9" s="510"/>
      <c r="F9" s="510"/>
      <c r="G9" s="510"/>
    </row>
    <row r="10" spans="1:7" x14ac:dyDescent="0.2">
      <c r="A10" s="510"/>
      <c r="B10" s="510"/>
      <c r="C10" s="510"/>
      <c r="D10" s="510"/>
      <c r="E10" s="510"/>
      <c r="F10" s="510"/>
      <c r="G10" s="510"/>
    </row>
    <row r="11" spans="1:7" x14ac:dyDescent="0.2">
      <c r="A11" s="510"/>
      <c r="B11" s="510"/>
      <c r="C11" s="510"/>
      <c r="D11" s="510"/>
      <c r="E11" s="510"/>
      <c r="F11" s="510"/>
      <c r="G11" s="510"/>
    </row>
    <row r="12" spans="1:7" x14ac:dyDescent="0.2">
      <c r="A12" s="510"/>
      <c r="B12" s="510"/>
      <c r="C12" s="510"/>
      <c r="D12" s="510"/>
      <c r="E12" s="510"/>
      <c r="F12" s="510"/>
      <c r="G12" s="510"/>
    </row>
    <row r="13" spans="1:7" x14ac:dyDescent="0.2">
      <c r="A13" s="510"/>
      <c r="B13" s="510"/>
      <c r="C13" s="510"/>
      <c r="D13" s="510"/>
      <c r="E13" s="510"/>
      <c r="F13" s="510"/>
      <c r="G13" s="510"/>
    </row>
    <row r="14" spans="1:7" x14ac:dyDescent="0.2">
      <c r="A14" s="510"/>
      <c r="B14" s="510"/>
      <c r="C14" s="510"/>
      <c r="D14" s="510"/>
      <c r="E14" s="510"/>
      <c r="F14" s="510"/>
      <c r="G14" s="510"/>
    </row>
    <row r="15" spans="1:7" ht="19.5" customHeight="1" thickBot="1" x14ac:dyDescent="0.35">
      <c r="A15" s="283"/>
      <c r="B15" s="283"/>
      <c r="C15" s="283"/>
      <c r="D15" s="283"/>
      <c r="E15" s="283"/>
      <c r="F15" s="283"/>
      <c r="G15" s="283"/>
    </row>
    <row r="16" spans="1:7" ht="19.5" customHeight="1" thickBot="1" x14ac:dyDescent="0.35">
      <c r="A16" s="511" t="s">
        <v>26</v>
      </c>
      <c r="B16" s="512"/>
      <c r="C16" s="512"/>
      <c r="D16" s="512"/>
      <c r="E16" s="512"/>
      <c r="F16" s="512"/>
      <c r="G16" s="512"/>
    </row>
    <row r="17" spans="1:8" ht="18.75" customHeight="1" x14ac:dyDescent="0.3">
      <c r="A17" s="284" t="s">
        <v>42</v>
      </c>
      <c r="B17" s="284"/>
      <c r="C17" s="283"/>
      <c r="D17" s="283"/>
      <c r="E17" s="283"/>
      <c r="F17" s="283"/>
      <c r="G17" s="283"/>
    </row>
    <row r="18" spans="1:8" ht="26.25" customHeight="1" x14ac:dyDescent="0.4">
      <c r="A18" s="285" t="s">
        <v>28</v>
      </c>
      <c r="B18" s="456" t="s">
        <v>144</v>
      </c>
      <c r="C18" s="456"/>
      <c r="D18" s="286"/>
      <c r="E18" s="286"/>
      <c r="F18" s="283"/>
      <c r="G18" s="283"/>
    </row>
    <row r="19" spans="1:8" ht="26.25" customHeight="1" x14ac:dyDescent="0.4">
      <c r="A19" s="285" t="s">
        <v>29</v>
      </c>
      <c r="B19" s="287" t="s">
        <v>145</v>
      </c>
      <c r="C19" s="283">
        <v>12</v>
      </c>
      <c r="E19" s="283"/>
      <c r="F19" s="283"/>
      <c r="G19" s="283"/>
    </row>
    <row r="20" spans="1:8" ht="26.25" customHeight="1" x14ac:dyDescent="0.4">
      <c r="A20" s="285" t="s">
        <v>30</v>
      </c>
      <c r="B20" s="451" t="s">
        <v>146</v>
      </c>
      <c r="C20" s="451"/>
      <c r="D20" s="283"/>
      <c r="E20" s="283"/>
      <c r="F20" s="283"/>
      <c r="G20" s="283"/>
    </row>
    <row r="21" spans="1:8" ht="26.25" customHeight="1" x14ac:dyDescent="0.4">
      <c r="A21" s="285" t="s">
        <v>31</v>
      </c>
      <c r="B21" s="451" t="s">
        <v>147</v>
      </c>
      <c r="C21" s="451"/>
      <c r="D21" s="451"/>
      <c r="E21" s="451"/>
      <c r="F21" s="451"/>
      <c r="G21" s="451"/>
      <c r="H21" s="451"/>
    </row>
    <row r="22" spans="1:8" ht="26.25" customHeight="1" x14ac:dyDescent="0.4">
      <c r="A22" s="285" t="s">
        <v>32</v>
      </c>
      <c r="B22" s="104">
        <v>42486</v>
      </c>
      <c r="C22" s="288"/>
      <c r="D22" s="283"/>
      <c r="E22" s="283"/>
      <c r="F22" s="283"/>
      <c r="G22" s="283"/>
    </row>
    <row r="23" spans="1:8" ht="26.25" customHeight="1" x14ac:dyDescent="0.4">
      <c r="A23" s="285" t="s">
        <v>33</v>
      </c>
      <c r="B23" s="104">
        <v>42550</v>
      </c>
      <c r="C23" s="288"/>
      <c r="D23" s="283"/>
      <c r="E23" s="283"/>
      <c r="F23" s="283"/>
      <c r="G23" s="283"/>
    </row>
    <row r="24" spans="1:8" ht="18.75" customHeight="1" x14ac:dyDescent="0.3">
      <c r="A24" s="285"/>
      <c r="B24" s="289"/>
      <c r="C24" s="283"/>
      <c r="D24" s="283"/>
      <c r="E24" s="283"/>
      <c r="F24" s="283"/>
      <c r="G24" s="283"/>
    </row>
    <row r="25" spans="1:8" ht="18.75" customHeight="1" x14ac:dyDescent="0.3">
      <c r="A25" s="290" t="s">
        <v>1</v>
      </c>
      <c r="B25" s="289"/>
      <c r="C25" s="283"/>
      <c r="D25" s="283"/>
      <c r="E25" s="283"/>
      <c r="F25" s="283"/>
      <c r="G25" s="283"/>
    </row>
    <row r="26" spans="1:8" ht="26.25" customHeight="1" x14ac:dyDescent="0.4">
      <c r="A26" s="291" t="s">
        <v>4</v>
      </c>
      <c r="B26" s="451" t="s">
        <v>146</v>
      </c>
      <c r="C26" s="451"/>
      <c r="D26" s="283"/>
      <c r="E26" s="283"/>
      <c r="F26" s="283"/>
      <c r="G26" s="283"/>
    </row>
    <row r="27" spans="1:8" ht="26.25" customHeight="1" x14ac:dyDescent="0.4">
      <c r="A27" s="292" t="s">
        <v>43</v>
      </c>
      <c r="B27" s="495" t="s">
        <v>148</v>
      </c>
      <c r="C27" s="495"/>
      <c r="D27" s="283"/>
      <c r="E27" s="283"/>
      <c r="F27" s="283"/>
      <c r="G27" s="283"/>
    </row>
    <row r="28" spans="1:8" ht="27" customHeight="1" thickBot="1" x14ac:dyDescent="0.45">
      <c r="A28" s="292" t="s">
        <v>5</v>
      </c>
      <c r="B28" s="293">
        <v>99</v>
      </c>
      <c r="C28" s="283"/>
      <c r="D28" s="283"/>
      <c r="E28" s="283"/>
      <c r="F28" s="283"/>
      <c r="G28" s="283"/>
    </row>
    <row r="29" spans="1:8" ht="27" customHeight="1" thickBot="1" x14ac:dyDescent="0.45">
      <c r="A29" s="292" t="s">
        <v>44</v>
      </c>
      <c r="B29" s="294">
        <v>0</v>
      </c>
      <c r="C29" s="499" t="s">
        <v>121</v>
      </c>
      <c r="D29" s="500"/>
      <c r="E29" s="500"/>
      <c r="F29" s="500"/>
      <c r="G29" s="513"/>
    </row>
    <row r="30" spans="1:8" ht="19.5" customHeight="1" thickBot="1" x14ac:dyDescent="0.35">
      <c r="A30" s="292" t="s">
        <v>46</v>
      </c>
      <c r="B30" s="295">
        <f>B28-B29</f>
        <v>99</v>
      </c>
      <c r="C30" s="296"/>
      <c r="D30" s="296"/>
      <c r="E30" s="296"/>
      <c r="F30" s="296"/>
      <c r="G30" s="296"/>
    </row>
    <row r="31" spans="1:8" ht="27" customHeight="1" thickBot="1" x14ac:dyDescent="0.45">
      <c r="A31" s="292" t="s">
        <v>47</v>
      </c>
      <c r="B31" s="297">
        <v>1</v>
      </c>
      <c r="C31" s="499" t="s">
        <v>48</v>
      </c>
      <c r="D31" s="500"/>
      <c r="E31" s="500"/>
      <c r="F31" s="500"/>
      <c r="G31" s="513"/>
    </row>
    <row r="32" spans="1:8" ht="27" customHeight="1" thickBot="1" x14ac:dyDescent="0.45">
      <c r="A32" s="292" t="s">
        <v>49</v>
      </c>
      <c r="B32" s="297">
        <v>1</v>
      </c>
      <c r="C32" s="499" t="s">
        <v>50</v>
      </c>
      <c r="D32" s="500"/>
      <c r="E32" s="500"/>
      <c r="F32" s="500"/>
      <c r="G32" s="513"/>
    </row>
    <row r="33" spans="1:7" ht="18.75" customHeight="1" x14ac:dyDescent="0.3">
      <c r="A33" s="292"/>
      <c r="B33" s="298"/>
      <c r="C33" s="299"/>
      <c r="D33" s="299"/>
      <c r="E33" s="299"/>
      <c r="F33" s="299"/>
      <c r="G33" s="299"/>
    </row>
    <row r="34" spans="1:7" ht="18.75" customHeight="1" x14ac:dyDescent="0.3">
      <c r="A34" s="292" t="s">
        <v>51</v>
      </c>
      <c r="B34" s="300">
        <f>B31/B32</f>
        <v>1</v>
      </c>
      <c r="C34" s="283" t="s">
        <v>52</v>
      </c>
      <c r="D34" s="283"/>
      <c r="E34" s="283"/>
      <c r="F34" s="283"/>
      <c r="G34" s="283"/>
    </row>
    <row r="35" spans="1:7" ht="19.5" customHeight="1" thickBot="1" x14ac:dyDescent="0.35">
      <c r="A35" s="292"/>
      <c r="B35" s="295"/>
      <c r="C35" s="301"/>
      <c r="D35" s="301"/>
      <c r="E35" s="301"/>
      <c r="F35" s="301"/>
      <c r="G35" s="283"/>
    </row>
    <row r="36" spans="1:7" ht="27" customHeight="1" thickBot="1" x14ac:dyDescent="0.45">
      <c r="A36" s="302" t="s">
        <v>122</v>
      </c>
      <c r="B36" s="303">
        <v>100</v>
      </c>
      <c r="C36" s="283"/>
      <c r="D36" s="501" t="s">
        <v>54</v>
      </c>
      <c r="E36" s="514"/>
      <c r="F36" s="501" t="s">
        <v>55</v>
      </c>
      <c r="G36" s="502"/>
    </row>
    <row r="37" spans="1:7" ht="26.25" customHeight="1" x14ac:dyDescent="0.4">
      <c r="A37" s="304" t="s">
        <v>56</v>
      </c>
      <c r="B37" s="305">
        <v>5</v>
      </c>
      <c r="C37" s="306" t="s">
        <v>57</v>
      </c>
      <c r="D37" s="307" t="s">
        <v>58</v>
      </c>
      <c r="E37" s="308" t="s">
        <v>59</v>
      </c>
      <c r="F37" s="307" t="s">
        <v>58</v>
      </c>
      <c r="G37" s="309" t="s">
        <v>59</v>
      </c>
    </row>
    <row r="38" spans="1:7" ht="26.25" customHeight="1" x14ac:dyDescent="0.4">
      <c r="A38" s="304" t="s">
        <v>61</v>
      </c>
      <c r="B38" s="305">
        <v>50</v>
      </c>
      <c r="C38" s="310">
        <v>1</v>
      </c>
      <c r="D38" s="131">
        <v>0.49809999999999999</v>
      </c>
      <c r="E38" s="312">
        <f>IF(ISBLANK(D38),"-",$D$48/$D$45*D38)</f>
        <v>0.50169789058677949</v>
      </c>
      <c r="F38" s="131">
        <v>0.53480000000000005</v>
      </c>
      <c r="G38" s="313">
        <f>IF(ISBLANK(F38),"-",$D$48/$F$45*F38)</f>
        <v>0.49237163299663311</v>
      </c>
    </row>
    <row r="39" spans="1:7" ht="26.25" customHeight="1" x14ac:dyDescent="0.4">
      <c r="A39" s="304" t="s">
        <v>62</v>
      </c>
      <c r="B39" s="305">
        <v>1</v>
      </c>
      <c r="C39" s="314">
        <v>2</v>
      </c>
      <c r="D39" s="136">
        <v>0.50049999999999994</v>
      </c>
      <c r="E39" s="316">
        <f>IF(ISBLANK(D39),"-",$D$48/$D$45*D39)</f>
        <v>0.50411522633744854</v>
      </c>
      <c r="F39" s="136">
        <v>0.53339999999999999</v>
      </c>
      <c r="G39" s="317">
        <f>IF(ISBLANK(F39),"-",$D$48/$F$45*F39)</f>
        <v>0.49108270202020204</v>
      </c>
    </row>
    <row r="40" spans="1:7" ht="26.25" customHeight="1" x14ac:dyDescent="0.4">
      <c r="A40" s="304" t="s">
        <v>63</v>
      </c>
      <c r="B40" s="305">
        <v>1</v>
      </c>
      <c r="C40" s="314">
        <v>3</v>
      </c>
      <c r="D40" s="136">
        <v>0.49080000000000001</v>
      </c>
      <c r="E40" s="316">
        <f>IF(ISBLANK(D40),"-",$D$48/$D$45*D40)</f>
        <v>0.49434516101182774</v>
      </c>
      <c r="F40" s="136">
        <v>0.54049999999999998</v>
      </c>
      <c r="G40" s="317">
        <f>IF(ISBLANK(F40),"-",$D$48/$F$45*F40)</f>
        <v>0.49761942340067344</v>
      </c>
    </row>
    <row r="41" spans="1:7" ht="26.25" customHeight="1" x14ac:dyDescent="0.4">
      <c r="A41" s="304" t="s">
        <v>64</v>
      </c>
      <c r="B41" s="305">
        <v>1</v>
      </c>
      <c r="C41" s="318"/>
      <c r="D41" s="319"/>
      <c r="E41" s="320" t="str">
        <f>IF(ISBLANK(D41),"-",$D$48/$D$45*D41)</f>
        <v>-</v>
      </c>
      <c r="F41" s="319"/>
      <c r="G41" s="321" t="str">
        <f>IF(ISBLANK(F41),"-",$D$48/$F$45*F41)</f>
        <v>-</v>
      </c>
    </row>
    <row r="42" spans="1:7" ht="27" customHeight="1" thickBot="1" x14ac:dyDescent="0.45">
      <c r="A42" s="304" t="s">
        <v>65</v>
      </c>
      <c r="B42" s="305">
        <v>1</v>
      </c>
      <c r="C42" s="322" t="s">
        <v>66</v>
      </c>
      <c r="D42" s="323">
        <f>AVERAGE(D38:D41)</f>
        <v>0.49646666666666661</v>
      </c>
      <c r="E42" s="324">
        <f>AVERAGE(E38:E41)</f>
        <v>0.50005275931201854</v>
      </c>
      <c r="F42" s="323">
        <f>AVERAGE(F38:F41)</f>
        <v>0.53623333333333334</v>
      </c>
      <c r="G42" s="325">
        <f>AVERAGE(G38:G41)</f>
        <v>0.4936912528058362</v>
      </c>
    </row>
    <row r="43" spans="1:7" ht="26.25" customHeight="1" x14ac:dyDescent="0.4">
      <c r="A43" s="304" t="s">
        <v>67</v>
      </c>
      <c r="B43" s="305">
        <v>1</v>
      </c>
      <c r="C43" s="326" t="s">
        <v>108</v>
      </c>
      <c r="D43" s="327">
        <v>14.04</v>
      </c>
      <c r="E43" s="283"/>
      <c r="F43" s="327">
        <v>15.36</v>
      </c>
      <c r="G43" s="283"/>
    </row>
    <row r="44" spans="1:7" ht="26.25" customHeight="1" x14ac:dyDescent="0.4">
      <c r="A44" s="304" t="s">
        <v>69</v>
      </c>
      <c r="B44" s="305">
        <v>1</v>
      </c>
      <c r="C44" s="328" t="s">
        <v>109</v>
      </c>
      <c r="D44" s="329">
        <f>D43*$B$34</f>
        <v>14.04</v>
      </c>
      <c r="E44" s="330"/>
      <c r="F44" s="329">
        <f>F43*$B$34</f>
        <v>15.36</v>
      </c>
      <c r="G44" s="283"/>
    </row>
    <row r="45" spans="1:7" ht="19.5" customHeight="1" thickBot="1" x14ac:dyDescent="0.35">
      <c r="A45" s="304" t="s">
        <v>71</v>
      </c>
      <c r="B45" s="331">
        <f>(B44/B43)*(B42/B41)*(B40/B39)*(B38/B37)*B36</f>
        <v>1000</v>
      </c>
      <c r="C45" s="328" t="s">
        <v>72</v>
      </c>
      <c r="D45" s="332">
        <f>D44*$B$30/100</f>
        <v>13.899599999999998</v>
      </c>
      <c r="E45" s="333"/>
      <c r="F45" s="332">
        <f>F44*$B$30/100</f>
        <v>15.206399999999999</v>
      </c>
      <c r="G45" s="283"/>
    </row>
    <row r="46" spans="1:7" ht="19.5" customHeight="1" thickBot="1" x14ac:dyDescent="0.35">
      <c r="A46" s="503" t="s">
        <v>73</v>
      </c>
      <c r="B46" s="504"/>
      <c r="C46" s="328" t="s">
        <v>74</v>
      </c>
      <c r="D46" s="329">
        <f>D45/$B$45</f>
        <v>1.3899599999999998E-2</v>
      </c>
      <c r="E46" s="333"/>
      <c r="F46" s="334">
        <f>F45/$B$45</f>
        <v>1.5206399999999998E-2</v>
      </c>
      <c r="G46" s="283"/>
    </row>
    <row r="47" spans="1:7" ht="27" customHeight="1" thickBot="1" x14ac:dyDescent="0.45">
      <c r="A47" s="505"/>
      <c r="B47" s="506"/>
      <c r="C47" s="335" t="s">
        <v>123</v>
      </c>
      <c r="D47" s="336">
        <v>1.4E-2</v>
      </c>
      <c r="E47" s="283"/>
      <c r="F47" s="337"/>
      <c r="G47" s="283"/>
    </row>
    <row r="48" spans="1:7" ht="18.75" customHeight="1" x14ac:dyDescent="0.3">
      <c r="A48" s="283"/>
      <c r="B48" s="283"/>
      <c r="C48" s="338" t="s">
        <v>76</v>
      </c>
      <c r="D48" s="332">
        <f>D47*$B$45</f>
        <v>14</v>
      </c>
      <c r="E48" s="283"/>
      <c r="F48" s="337"/>
      <c r="G48" s="283"/>
    </row>
    <row r="49" spans="1:7" ht="19.5" customHeight="1" thickBot="1" x14ac:dyDescent="0.35">
      <c r="A49" s="283"/>
      <c r="B49" s="283"/>
      <c r="C49" s="292" t="s">
        <v>77</v>
      </c>
      <c r="D49" s="339">
        <f>D48/B34</f>
        <v>14</v>
      </c>
      <c r="E49" s="283"/>
      <c r="F49" s="337"/>
      <c r="G49" s="283"/>
    </row>
    <row r="50" spans="1:7" ht="18.75" customHeight="1" x14ac:dyDescent="0.3">
      <c r="A50" s="283"/>
      <c r="B50" s="283"/>
      <c r="C50" s="302" t="s">
        <v>78</v>
      </c>
      <c r="D50" s="340">
        <f>AVERAGE(E38:E41,G38:G41)</f>
        <v>0.49687200605892734</v>
      </c>
      <c r="E50" s="283"/>
      <c r="F50" s="341"/>
      <c r="G50" s="283"/>
    </row>
    <row r="51" spans="1:7" ht="18.75" customHeight="1" x14ac:dyDescent="0.3">
      <c r="A51" s="283"/>
      <c r="B51" s="283"/>
      <c r="C51" s="304" t="s">
        <v>79</v>
      </c>
      <c r="D51" s="342">
        <f>STDEV(E38:E41,G38:G41)/D50</f>
        <v>1.0514371138563981E-2</v>
      </c>
      <c r="E51" s="283"/>
      <c r="F51" s="341"/>
      <c r="G51" s="283"/>
    </row>
    <row r="52" spans="1:7" ht="19.5" customHeight="1" thickBot="1" x14ac:dyDescent="0.35">
      <c r="A52" s="283"/>
      <c r="B52" s="283"/>
      <c r="C52" s="343" t="s">
        <v>15</v>
      </c>
      <c r="D52" s="344">
        <f>COUNT(E38:E41,G38:G41)</f>
        <v>6</v>
      </c>
      <c r="E52" s="283"/>
      <c r="F52" s="341"/>
      <c r="G52" s="283"/>
    </row>
    <row r="53" spans="1:7" ht="18.75" customHeight="1" x14ac:dyDescent="0.3">
      <c r="A53" s="283"/>
      <c r="B53" s="283"/>
      <c r="C53" s="283"/>
      <c r="D53" s="283"/>
      <c r="E53" s="283"/>
      <c r="F53" s="283"/>
      <c r="G53" s="283"/>
    </row>
    <row r="54" spans="1:7" ht="18.75" customHeight="1" x14ac:dyDescent="0.3">
      <c r="A54" s="284" t="s">
        <v>1</v>
      </c>
      <c r="B54" s="345" t="s">
        <v>80</v>
      </c>
      <c r="C54" s="283"/>
      <c r="D54" s="283"/>
      <c r="E54" s="283"/>
      <c r="F54" s="283"/>
      <c r="G54" s="283"/>
    </row>
    <row r="55" spans="1:7" ht="18.75" customHeight="1" x14ac:dyDescent="0.3">
      <c r="A55" s="283" t="s">
        <v>81</v>
      </c>
      <c r="B55" s="346" t="str">
        <f>B21</f>
        <v>Each uncoated tablets contains Norethindrone USP 0.35mg</v>
      </c>
      <c r="C55" s="283"/>
      <c r="D55" s="283"/>
      <c r="E55" s="283"/>
      <c r="F55" s="283"/>
      <c r="G55" s="283"/>
    </row>
    <row r="56" spans="1:7" ht="26.25" customHeight="1" x14ac:dyDescent="0.4">
      <c r="A56" s="346" t="s">
        <v>82</v>
      </c>
      <c r="B56" s="293">
        <v>0.35</v>
      </c>
      <c r="C56" s="283" t="str">
        <f>B20</f>
        <v>Norethindrone USP</v>
      </c>
      <c r="D56" s="283"/>
      <c r="E56" s="283"/>
      <c r="F56" s="283"/>
      <c r="G56" s="283"/>
    </row>
    <row r="57" spans="1:7" ht="17.25" customHeight="1" thickBot="1" x14ac:dyDescent="0.35">
      <c r="A57" s="347" t="s">
        <v>83</v>
      </c>
      <c r="B57" s="347">
        <f>'Norethindrone USP'!B57</f>
        <v>101.79900000000001</v>
      </c>
      <c r="C57" s="347"/>
      <c r="D57" s="348"/>
      <c r="E57" s="348"/>
      <c r="F57" s="348"/>
      <c r="G57" s="348"/>
    </row>
    <row r="58" spans="1:7" ht="57.75" customHeight="1" x14ac:dyDescent="0.4">
      <c r="A58" s="302" t="s">
        <v>124</v>
      </c>
      <c r="B58" s="303">
        <v>25</v>
      </c>
      <c r="C58" s="349" t="s">
        <v>125</v>
      </c>
      <c r="D58" s="350" t="s">
        <v>126</v>
      </c>
      <c r="E58" s="351" t="s">
        <v>127</v>
      </c>
      <c r="F58" s="352" t="s">
        <v>128</v>
      </c>
      <c r="G58" s="353" t="s">
        <v>129</v>
      </c>
    </row>
    <row r="59" spans="1:7" ht="26.25" customHeight="1" x14ac:dyDescent="0.4">
      <c r="A59" s="304" t="s">
        <v>56</v>
      </c>
      <c r="B59" s="305">
        <v>1</v>
      </c>
      <c r="C59" s="354">
        <v>1</v>
      </c>
      <c r="D59" s="355">
        <v>0.49159999999999998</v>
      </c>
      <c r="E59" s="356">
        <f t="shared" ref="E59:E68" si="0">IF(ISBLANK(D59),"-",D59/$D$50*$D$47*$B$67)</f>
        <v>0.34628636329251006</v>
      </c>
      <c r="F59" s="357">
        <f t="shared" ref="F59:F68" si="1">IF(ISBLANK(D59),"-",E59/$E$70*100)</f>
        <v>97.479724772461367</v>
      </c>
      <c r="G59" s="358">
        <f t="shared" ref="G59:G68" si="2">IF(ISBLANK(D59),"-",E59/$B$56*100)</f>
        <v>98.938960940717166</v>
      </c>
    </row>
    <row r="60" spans="1:7" ht="26.25" customHeight="1" x14ac:dyDescent="0.4">
      <c r="A60" s="304" t="s">
        <v>61</v>
      </c>
      <c r="B60" s="305">
        <v>1</v>
      </c>
      <c r="C60" s="359">
        <v>2</v>
      </c>
      <c r="D60" s="360">
        <v>0.49309999999999998</v>
      </c>
      <c r="E60" s="361">
        <f t="shared" si="0"/>
        <v>0.34734297343274351</v>
      </c>
      <c r="F60" s="362">
        <f t="shared" si="1"/>
        <v>97.777160873272379</v>
      </c>
      <c r="G60" s="363">
        <f t="shared" si="2"/>
        <v>99.240849552212438</v>
      </c>
    </row>
    <row r="61" spans="1:7" ht="26.25" customHeight="1" x14ac:dyDescent="0.4">
      <c r="A61" s="304" t="s">
        <v>62</v>
      </c>
      <c r="B61" s="305">
        <v>1</v>
      </c>
      <c r="C61" s="359">
        <v>3</v>
      </c>
      <c r="D61" s="360">
        <v>0.50509999999999999</v>
      </c>
      <c r="E61" s="361">
        <f t="shared" si="0"/>
        <v>0.35579585455461121</v>
      </c>
      <c r="F61" s="362">
        <f t="shared" si="1"/>
        <v>100.15664967976048</v>
      </c>
      <c r="G61" s="363">
        <f t="shared" si="2"/>
        <v>101.65595844417463</v>
      </c>
    </row>
    <row r="62" spans="1:7" ht="26.25" customHeight="1" x14ac:dyDescent="0.4">
      <c r="A62" s="304" t="s">
        <v>63</v>
      </c>
      <c r="B62" s="305">
        <v>1</v>
      </c>
      <c r="C62" s="359">
        <v>4</v>
      </c>
      <c r="D62" s="360">
        <v>0.50409999999999999</v>
      </c>
      <c r="E62" s="361">
        <f t="shared" si="0"/>
        <v>0.35509144779445556</v>
      </c>
      <c r="F62" s="362">
        <f t="shared" si="1"/>
        <v>99.958358945886474</v>
      </c>
      <c r="G62" s="363">
        <f t="shared" si="2"/>
        <v>101.45469936984446</v>
      </c>
    </row>
    <row r="63" spans="1:7" ht="26.25" customHeight="1" x14ac:dyDescent="0.4">
      <c r="A63" s="304" t="s">
        <v>64</v>
      </c>
      <c r="B63" s="305">
        <v>1</v>
      </c>
      <c r="C63" s="359">
        <v>5</v>
      </c>
      <c r="D63" s="360">
        <v>0.51029999999999998</v>
      </c>
      <c r="E63" s="361">
        <f t="shared" si="0"/>
        <v>0.35945876970742052</v>
      </c>
      <c r="F63" s="362">
        <f t="shared" si="1"/>
        <v>101.18776149590532</v>
      </c>
      <c r="G63" s="363">
        <f t="shared" si="2"/>
        <v>102.70250563069159</v>
      </c>
    </row>
    <row r="64" spans="1:7" ht="26.25" customHeight="1" x14ac:dyDescent="0.4">
      <c r="A64" s="304" t="s">
        <v>65</v>
      </c>
      <c r="B64" s="305">
        <v>1</v>
      </c>
      <c r="C64" s="359">
        <v>6</v>
      </c>
      <c r="D64" s="360">
        <v>0.51090000000000002</v>
      </c>
      <c r="E64" s="361">
        <f t="shared" si="0"/>
        <v>0.35988141376351385</v>
      </c>
      <c r="F64" s="362">
        <f t="shared" si="1"/>
        <v>101.3067359362297</v>
      </c>
      <c r="G64" s="363">
        <f t="shared" si="2"/>
        <v>102.82326107528968</v>
      </c>
    </row>
    <row r="65" spans="1:7" ht="26.25" customHeight="1" x14ac:dyDescent="0.4">
      <c r="A65" s="304" t="s">
        <v>67</v>
      </c>
      <c r="B65" s="305">
        <v>1</v>
      </c>
      <c r="C65" s="359">
        <v>7</v>
      </c>
      <c r="D65" s="360">
        <v>0.49659999999999999</v>
      </c>
      <c r="E65" s="361">
        <f t="shared" si="0"/>
        <v>0.34980839709328831</v>
      </c>
      <c r="F65" s="362">
        <f t="shared" si="1"/>
        <v>98.471178441831427</v>
      </c>
      <c r="G65" s="363">
        <f t="shared" si="2"/>
        <v>99.945256312368087</v>
      </c>
    </row>
    <row r="66" spans="1:7" ht="26.25" customHeight="1" x14ac:dyDescent="0.4">
      <c r="A66" s="304" t="s">
        <v>69</v>
      </c>
      <c r="B66" s="305">
        <v>1</v>
      </c>
      <c r="C66" s="359">
        <v>8</v>
      </c>
      <c r="D66" s="360">
        <v>0.50700000000000001</v>
      </c>
      <c r="E66" s="361">
        <f t="shared" si="0"/>
        <v>0.35713422739890688</v>
      </c>
      <c r="F66" s="362">
        <f t="shared" si="1"/>
        <v>100.53340207412107</v>
      </c>
      <c r="G66" s="363">
        <f t="shared" si="2"/>
        <v>102.03835068540197</v>
      </c>
    </row>
    <row r="67" spans="1:7" ht="27" customHeight="1" thickBot="1" x14ac:dyDescent="0.45">
      <c r="A67" s="304" t="s">
        <v>71</v>
      </c>
      <c r="B67" s="331">
        <f>(B66/B65)*(B64/B63)*(B62/B61)*(B60/B59)*B58</f>
        <v>25</v>
      </c>
      <c r="C67" s="359">
        <v>9</v>
      </c>
      <c r="D67" s="360">
        <v>0.50980000000000003</v>
      </c>
      <c r="E67" s="361">
        <f t="shared" si="0"/>
        <v>0.35910656632734272</v>
      </c>
      <c r="F67" s="362">
        <f t="shared" si="1"/>
        <v>101.08861612896831</v>
      </c>
      <c r="G67" s="363">
        <f t="shared" si="2"/>
        <v>102.60187609352649</v>
      </c>
    </row>
    <row r="68" spans="1:7" ht="27" customHeight="1" thickBot="1" x14ac:dyDescent="0.45">
      <c r="A68" s="503" t="s">
        <v>73</v>
      </c>
      <c r="B68" s="507"/>
      <c r="C68" s="364">
        <v>10</v>
      </c>
      <c r="D68" s="365">
        <v>0.51459999999999995</v>
      </c>
      <c r="E68" s="366">
        <f t="shared" si="0"/>
        <v>0.36248771877608971</v>
      </c>
      <c r="F68" s="367">
        <f t="shared" si="1"/>
        <v>102.04041165156352</v>
      </c>
      <c r="G68" s="368">
        <f t="shared" si="2"/>
        <v>103.56791965031135</v>
      </c>
    </row>
    <row r="69" spans="1:7" ht="19.5" customHeight="1" thickBot="1" x14ac:dyDescent="0.35">
      <c r="A69" s="505"/>
      <c r="B69" s="508"/>
      <c r="C69" s="359"/>
      <c r="D69" s="333"/>
      <c r="E69" s="283"/>
      <c r="F69" s="348"/>
      <c r="G69" s="369"/>
    </row>
    <row r="70" spans="1:7" ht="26.25" customHeight="1" x14ac:dyDescent="0.4">
      <c r="A70" s="348"/>
      <c r="B70" s="348"/>
      <c r="C70" s="359" t="s">
        <v>130</v>
      </c>
      <c r="D70" s="370"/>
      <c r="E70" s="371">
        <f>AVERAGE(E59:E68)</f>
        <v>0.35523937321408822</v>
      </c>
      <c r="F70" s="371">
        <f>AVERAGE(F59:F68)</f>
        <v>100</v>
      </c>
      <c r="G70" s="372">
        <f>AVERAGE(G59:G68)</f>
        <v>101.49696377545379</v>
      </c>
    </row>
    <row r="71" spans="1:7" ht="26.25" customHeight="1" x14ac:dyDescent="0.4">
      <c r="A71" s="348"/>
      <c r="B71" s="348"/>
      <c r="C71" s="359"/>
      <c r="D71" s="370"/>
      <c r="E71" s="373">
        <f>STDEV(E59:E68)/E70</f>
        <v>1.5778884694104465E-2</v>
      </c>
      <c r="F71" s="373">
        <f>STDEV(F59:F68)/F70</f>
        <v>1.5778884694104465E-2</v>
      </c>
      <c r="G71" s="374">
        <f>STDEV(G59:G68)/G70</f>
        <v>1.5778884694104461E-2</v>
      </c>
    </row>
    <row r="72" spans="1:7" ht="27" customHeight="1" thickBot="1" x14ac:dyDescent="0.45">
      <c r="A72" s="348"/>
      <c r="B72" s="348"/>
      <c r="C72" s="364"/>
      <c r="D72" s="375"/>
      <c r="E72" s="376">
        <f>COUNT(E59:E68)</f>
        <v>10</v>
      </c>
      <c r="F72" s="376">
        <f>COUNT(F59:F68)</f>
        <v>10</v>
      </c>
      <c r="G72" s="377">
        <f>COUNT(G59:G68)</f>
        <v>10</v>
      </c>
    </row>
    <row r="73" spans="1:7" ht="18.75" customHeight="1" x14ac:dyDescent="0.3">
      <c r="A73" s="348"/>
      <c r="B73" s="283"/>
      <c r="C73" s="283"/>
      <c r="D73" s="330"/>
      <c r="E73" s="370"/>
      <c r="F73" s="283"/>
      <c r="G73" s="378"/>
    </row>
    <row r="74" spans="1:7" ht="18.75" customHeight="1" x14ac:dyDescent="0.3">
      <c r="A74" s="291" t="s">
        <v>131</v>
      </c>
      <c r="B74" s="292" t="s">
        <v>102</v>
      </c>
      <c r="C74" s="491" t="str">
        <f>B20</f>
        <v>Norethindrone USP</v>
      </c>
      <c r="D74" s="491"/>
      <c r="E74" s="283" t="s">
        <v>103</v>
      </c>
      <c r="F74" s="283"/>
      <c r="G74" s="379">
        <f>G70</f>
        <v>101.49696377545379</v>
      </c>
    </row>
    <row r="75" spans="1:7" ht="18.75" customHeight="1" x14ac:dyDescent="0.3">
      <c r="A75" s="291"/>
      <c r="B75" s="292"/>
      <c r="C75" s="295"/>
      <c r="D75" s="295"/>
      <c r="E75" s="283"/>
      <c r="F75" s="283"/>
      <c r="G75" s="380"/>
    </row>
    <row r="76" spans="1:7" ht="18.75" customHeight="1" x14ac:dyDescent="0.3">
      <c r="A76" s="284" t="s">
        <v>1</v>
      </c>
      <c r="B76" s="290" t="s">
        <v>132</v>
      </c>
      <c r="C76" s="283"/>
      <c r="D76" s="283"/>
      <c r="E76" s="283"/>
      <c r="F76" s="283"/>
      <c r="G76" s="348"/>
    </row>
    <row r="77" spans="1:7" ht="18.75" customHeight="1" x14ac:dyDescent="0.3">
      <c r="A77" s="284"/>
      <c r="B77" s="345"/>
      <c r="C77" s="283"/>
      <c r="D77" s="283"/>
      <c r="E77" s="283"/>
      <c r="F77" s="283"/>
      <c r="G77" s="348"/>
    </row>
    <row r="78" spans="1:7" ht="18.75" customHeight="1" x14ac:dyDescent="0.3">
      <c r="A78" s="348"/>
      <c r="B78" s="492" t="s">
        <v>133</v>
      </c>
      <c r="C78" s="493"/>
      <c r="D78" s="283"/>
      <c r="E78" s="348"/>
      <c r="F78" s="348"/>
      <c r="G78" s="348"/>
    </row>
    <row r="79" spans="1:7" ht="18.75" customHeight="1" x14ac:dyDescent="0.3">
      <c r="A79" s="348"/>
      <c r="B79" s="381" t="s">
        <v>38</v>
      </c>
      <c r="C79" s="382">
        <f>G70</f>
        <v>101.49696377545379</v>
      </c>
      <c r="D79" s="283"/>
      <c r="E79" s="348"/>
      <c r="F79" s="348"/>
      <c r="G79" s="348"/>
    </row>
    <row r="80" spans="1:7" ht="26.25" customHeight="1" x14ac:dyDescent="0.4">
      <c r="A80" s="348"/>
      <c r="B80" s="381" t="s">
        <v>134</v>
      </c>
      <c r="C80" s="383">
        <v>2.4</v>
      </c>
      <c r="D80" s="283"/>
      <c r="E80" s="348"/>
      <c r="F80" s="348"/>
      <c r="G80" s="348"/>
    </row>
    <row r="81" spans="1:7" ht="18.75" customHeight="1" x14ac:dyDescent="0.3">
      <c r="A81" s="348"/>
      <c r="B81" s="381" t="s">
        <v>135</v>
      </c>
      <c r="C81" s="382">
        <f>STDEV(G59:G68)</f>
        <v>1.6015088882145829</v>
      </c>
      <c r="D81" s="283"/>
      <c r="E81" s="348"/>
      <c r="F81" s="348"/>
      <c r="G81" s="348"/>
    </row>
    <row r="82" spans="1:7" ht="18.75" customHeight="1" x14ac:dyDescent="0.3">
      <c r="A82" s="348"/>
      <c r="B82" s="381" t="s">
        <v>136</v>
      </c>
      <c r="C82" s="382">
        <f>IF(OR(G70&lt;98.5,G70&gt;101.5),(IF(98.5&gt;G70,98.5,101.5)),C79)</f>
        <v>101.49696377545379</v>
      </c>
      <c r="D82" s="283"/>
      <c r="E82" s="348"/>
      <c r="F82" s="348"/>
      <c r="G82" s="348"/>
    </row>
    <row r="83" spans="1:7" ht="18.75" customHeight="1" x14ac:dyDescent="0.3">
      <c r="A83" s="348"/>
      <c r="B83" s="381" t="s">
        <v>137</v>
      </c>
      <c r="C83" s="384">
        <f>ABS(C82-C79)+(C80*C81)</f>
        <v>3.8436213317149988</v>
      </c>
      <c r="D83" s="283"/>
      <c r="E83" s="348"/>
      <c r="F83" s="348"/>
      <c r="G83" s="348"/>
    </row>
    <row r="84" spans="1:7" ht="18.75" customHeight="1" x14ac:dyDescent="0.3">
      <c r="A84" s="346"/>
      <c r="B84" s="385"/>
      <c r="C84" s="283"/>
      <c r="D84" s="283"/>
      <c r="E84" s="283"/>
      <c r="F84" s="283"/>
      <c r="G84" s="283"/>
    </row>
    <row r="85" spans="1:7" ht="18.75" customHeight="1" x14ac:dyDescent="0.3">
      <c r="A85" s="290" t="s">
        <v>104</v>
      </c>
      <c r="B85" s="290" t="s">
        <v>105</v>
      </c>
      <c r="C85" s="283"/>
      <c r="D85" s="283"/>
      <c r="E85" s="283"/>
      <c r="F85" s="283"/>
      <c r="G85" s="283"/>
    </row>
    <row r="86" spans="1:7" ht="18.75" customHeight="1" x14ac:dyDescent="0.3">
      <c r="A86" s="290"/>
      <c r="B86" s="290"/>
      <c r="C86" s="283"/>
      <c r="D86" s="283"/>
      <c r="E86" s="283"/>
      <c r="F86" s="283"/>
      <c r="G86" s="283"/>
    </row>
    <row r="87" spans="1:7" ht="26.25" customHeight="1" x14ac:dyDescent="0.4">
      <c r="A87" s="291" t="s">
        <v>4</v>
      </c>
      <c r="B87" s="494"/>
      <c r="C87" s="494"/>
      <c r="D87" s="283"/>
      <c r="E87" s="283"/>
      <c r="F87" s="283"/>
      <c r="G87" s="283"/>
    </row>
    <row r="88" spans="1:7" ht="26.25" customHeight="1" x14ac:dyDescent="0.4">
      <c r="A88" s="292" t="s">
        <v>43</v>
      </c>
      <c r="B88" s="495"/>
      <c r="C88" s="495"/>
      <c r="D88" s="283"/>
      <c r="E88" s="283"/>
      <c r="F88" s="283"/>
      <c r="G88" s="283"/>
    </row>
    <row r="89" spans="1:7" ht="27" customHeight="1" thickBot="1" x14ac:dyDescent="0.45">
      <c r="A89" s="292" t="s">
        <v>5</v>
      </c>
      <c r="B89" s="293">
        <f>B32</f>
        <v>1</v>
      </c>
      <c r="C89" s="283"/>
      <c r="D89" s="283"/>
      <c r="E89" s="283"/>
      <c r="F89" s="283"/>
      <c r="G89" s="283"/>
    </row>
    <row r="90" spans="1:7" ht="27" customHeight="1" thickBot="1" x14ac:dyDescent="0.45">
      <c r="A90" s="292" t="s">
        <v>44</v>
      </c>
      <c r="B90" s="293">
        <f>B33</f>
        <v>0</v>
      </c>
      <c r="C90" s="496" t="s">
        <v>45</v>
      </c>
      <c r="D90" s="497"/>
      <c r="E90" s="497"/>
      <c r="F90" s="497"/>
      <c r="G90" s="498"/>
    </row>
    <row r="91" spans="1:7" ht="18.75" customHeight="1" x14ac:dyDescent="0.3">
      <c r="A91" s="292" t="s">
        <v>46</v>
      </c>
      <c r="B91" s="295">
        <f>B89-B90</f>
        <v>1</v>
      </c>
      <c r="C91" s="296"/>
      <c r="D91" s="296"/>
      <c r="E91" s="296"/>
      <c r="F91" s="296"/>
      <c r="G91" s="386"/>
    </row>
    <row r="92" spans="1:7" ht="19.5" customHeight="1" thickBot="1" x14ac:dyDescent="0.35">
      <c r="A92" s="292"/>
      <c r="B92" s="295"/>
      <c r="C92" s="296"/>
      <c r="D92" s="296"/>
      <c r="E92" s="296"/>
      <c r="F92" s="296"/>
      <c r="G92" s="386"/>
    </row>
    <row r="93" spans="1:7" ht="27" customHeight="1" thickBot="1" x14ac:dyDescent="0.45">
      <c r="A93" s="292" t="s">
        <v>47</v>
      </c>
      <c r="B93" s="297">
        <v>1</v>
      </c>
      <c r="C93" s="499" t="s">
        <v>138</v>
      </c>
      <c r="D93" s="500"/>
      <c r="E93" s="500"/>
      <c r="F93" s="500"/>
      <c r="G93" s="500"/>
    </row>
    <row r="94" spans="1:7" ht="27" customHeight="1" thickBot="1" x14ac:dyDescent="0.45">
      <c r="A94" s="292" t="s">
        <v>49</v>
      </c>
      <c r="B94" s="297">
        <v>1</v>
      </c>
      <c r="C94" s="499" t="s">
        <v>139</v>
      </c>
      <c r="D94" s="500"/>
      <c r="E94" s="500"/>
      <c r="F94" s="500"/>
      <c r="G94" s="500"/>
    </row>
    <row r="95" spans="1:7" ht="18.75" customHeight="1" x14ac:dyDescent="0.3">
      <c r="A95" s="292"/>
      <c r="B95" s="298"/>
      <c r="C95" s="299"/>
      <c r="D95" s="299"/>
      <c r="E95" s="299"/>
      <c r="F95" s="299"/>
      <c r="G95" s="299"/>
    </row>
    <row r="96" spans="1:7" ht="18.75" customHeight="1" x14ac:dyDescent="0.3">
      <c r="A96" s="292" t="s">
        <v>51</v>
      </c>
      <c r="B96" s="300">
        <f>B93/B94</f>
        <v>1</v>
      </c>
      <c r="C96" s="283" t="s">
        <v>52</v>
      </c>
      <c r="D96" s="283"/>
      <c r="E96" s="283"/>
      <c r="F96" s="283"/>
      <c r="G96" s="283"/>
    </row>
    <row r="97" spans="1:7" ht="19.5" customHeight="1" thickBot="1" x14ac:dyDescent="0.35">
      <c r="A97" s="290"/>
      <c r="B97" s="290"/>
      <c r="C97" s="283"/>
      <c r="D97" s="283"/>
      <c r="E97" s="283"/>
      <c r="F97" s="283"/>
      <c r="G97" s="283"/>
    </row>
    <row r="98" spans="1:7" ht="27" customHeight="1" thickBot="1" x14ac:dyDescent="0.45">
      <c r="A98" s="302" t="s">
        <v>122</v>
      </c>
      <c r="B98" s="387">
        <v>1</v>
      </c>
      <c r="C98" s="283"/>
      <c r="D98" s="388" t="s">
        <v>54</v>
      </c>
      <c r="E98" s="389"/>
      <c r="F98" s="501" t="s">
        <v>55</v>
      </c>
      <c r="G98" s="502"/>
    </row>
    <row r="99" spans="1:7" ht="26.25" customHeight="1" x14ac:dyDescent="0.4">
      <c r="A99" s="304" t="s">
        <v>56</v>
      </c>
      <c r="B99" s="390">
        <v>1</v>
      </c>
      <c r="C99" s="306" t="s">
        <v>57</v>
      </c>
      <c r="D99" s="307" t="s">
        <v>58</v>
      </c>
      <c r="E99" s="308" t="s">
        <v>59</v>
      </c>
      <c r="F99" s="307" t="s">
        <v>58</v>
      </c>
      <c r="G99" s="309" t="s">
        <v>59</v>
      </c>
    </row>
    <row r="100" spans="1:7" ht="26.25" customHeight="1" x14ac:dyDescent="0.4">
      <c r="A100" s="304" t="s">
        <v>61</v>
      </c>
      <c r="B100" s="390">
        <v>1</v>
      </c>
      <c r="C100" s="310">
        <v>1</v>
      </c>
      <c r="D100" s="311"/>
      <c r="E100" s="391" t="str">
        <f>IF(ISBLANK(D100),"-",$D$110/$D$107*D100)</f>
        <v>-</v>
      </c>
      <c r="F100" s="392"/>
      <c r="G100" s="313" t="str">
        <f>IF(ISBLANK(F100),"-",$D$110/$F$107*F100)</f>
        <v>-</v>
      </c>
    </row>
    <row r="101" spans="1:7" ht="26.25" customHeight="1" x14ac:dyDescent="0.4">
      <c r="A101" s="304" t="s">
        <v>62</v>
      </c>
      <c r="B101" s="390">
        <v>1</v>
      </c>
      <c r="C101" s="314">
        <v>2</v>
      </c>
      <c r="D101" s="315"/>
      <c r="E101" s="393" t="str">
        <f>IF(ISBLANK(D101),"-",$D$110/$D$107*D101)</f>
        <v>-</v>
      </c>
      <c r="F101" s="293"/>
      <c r="G101" s="317" t="str">
        <f>IF(ISBLANK(F101),"-",$D$110/$F$107*F101)</f>
        <v>-</v>
      </c>
    </row>
    <row r="102" spans="1:7" ht="26.25" customHeight="1" x14ac:dyDescent="0.4">
      <c r="A102" s="304" t="s">
        <v>63</v>
      </c>
      <c r="B102" s="390">
        <v>1</v>
      </c>
      <c r="C102" s="314">
        <v>3</v>
      </c>
      <c r="D102" s="315"/>
      <c r="E102" s="393" t="str">
        <f>IF(ISBLANK(D102),"-",$D$110/$D$107*D102)</f>
        <v>-</v>
      </c>
      <c r="F102" s="394"/>
      <c r="G102" s="317" t="str">
        <f>IF(ISBLANK(F102),"-",$D$110/$F$107*F102)</f>
        <v>-</v>
      </c>
    </row>
    <row r="103" spans="1:7" ht="26.25" customHeight="1" x14ac:dyDescent="0.4">
      <c r="A103" s="304" t="s">
        <v>64</v>
      </c>
      <c r="B103" s="390">
        <v>1</v>
      </c>
      <c r="C103" s="318">
        <v>4</v>
      </c>
      <c r="D103" s="319"/>
      <c r="E103" s="395" t="str">
        <f>IF(ISBLANK(D103),"-",$D$110/$D$107*D103)</f>
        <v>-</v>
      </c>
      <c r="F103" s="396"/>
      <c r="G103" s="321" t="str">
        <f>IF(ISBLANK(F103),"-",$D$110/$F$107*F103)</f>
        <v>-</v>
      </c>
    </row>
    <row r="104" spans="1:7" ht="27" customHeight="1" thickBot="1" x14ac:dyDescent="0.45">
      <c r="A104" s="304" t="s">
        <v>65</v>
      </c>
      <c r="B104" s="390">
        <v>1</v>
      </c>
      <c r="C104" s="322" t="s">
        <v>66</v>
      </c>
      <c r="D104" s="397" t="e">
        <f>AVERAGE(D100:D103)</f>
        <v>#DIV/0!</v>
      </c>
      <c r="E104" s="324" t="e">
        <f>AVERAGE(E100:E103)</f>
        <v>#DIV/0!</v>
      </c>
      <c r="F104" s="397" t="e">
        <f>AVERAGE(F100:F103)</f>
        <v>#DIV/0!</v>
      </c>
      <c r="G104" s="398" t="e">
        <f>AVERAGE(G100:G103)</f>
        <v>#DIV/0!</v>
      </c>
    </row>
    <row r="105" spans="1:7" ht="26.25" customHeight="1" x14ac:dyDescent="0.4">
      <c r="A105" s="304" t="s">
        <v>67</v>
      </c>
      <c r="B105" s="390">
        <v>1</v>
      </c>
      <c r="C105" s="326" t="s">
        <v>108</v>
      </c>
      <c r="D105" s="399"/>
      <c r="E105" s="283"/>
      <c r="F105" s="327"/>
      <c r="G105" s="283"/>
    </row>
    <row r="106" spans="1:7" ht="26.25" customHeight="1" x14ac:dyDescent="0.4">
      <c r="A106" s="304" t="s">
        <v>69</v>
      </c>
      <c r="B106" s="390">
        <v>1</v>
      </c>
      <c r="C106" s="328" t="s">
        <v>109</v>
      </c>
      <c r="D106" s="400">
        <f>D105*$B$96</f>
        <v>0</v>
      </c>
      <c r="E106" s="330"/>
      <c r="F106" s="329">
        <f>F105*$B$96</f>
        <v>0</v>
      </c>
      <c r="G106" s="283"/>
    </row>
    <row r="107" spans="1:7" ht="19.5" customHeight="1" thickBot="1" x14ac:dyDescent="0.35">
      <c r="A107" s="304" t="s">
        <v>71</v>
      </c>
      <c r="B107" s="314">
        <f>(B106/B105)*(B104/B103)*(B102/B101)*(B100/B99)*B98</f>
        <v>1</v>
      </c>
      <c r="C107" s="328" t="s">
        <v>72</v>
      </c>
      <c r="D107" s="401">
        <f>D106*$B$91/100</f>
        <v>0</v>
      </c>
      <c r="E107" s="333"/>
      <c r="F107" s="332">
        <f>F106*$B$91/100</f>
        <v>0</v>
      </c>
      <c r="G107" s="283"/>
    </row>
    <row r="108" spans="1:7" ht="19.5" customHeight="1" thickBot="1" x14ac:dyDescent="0.35">
      <c r="A108" s="503" t="s">
        <v>73</v>
      </c>
      <c r="B108" s="504"/>
      <c r="C108" s="328" t="s">
        <v>74</v>
      </c>
      <c r="D108" s="400">
        <f>D107/$B$107</f>
        <v>0</v>
      </c>
      <c r="E108" s="333"/>
      <c r="F108" s="334">
        <f>F107/$B$107</f>
        <v>0</v>
      </c>
      <c r="G108" s="402"/>
    </row>
    <row r="109" spans="1:7" ht="19.5" customHeight="1" thickBot="1" x14ac:dyDescent="0.35">
      <c r="A109" s="505"/>
      <c r="B109" s="506"/>
      <c r="C109" s="403" t="s">
        <v>123</v>
      </c>
      <c r="D109" s="404">
        <f>$B$56/$B$125</f>
        <v>0.35</v>
      </c>
      <c r="E109" s="283"/>
      <c r="F109" s="337"/>
      <c r="G109" s="405"/>
    </row>
    <row r="110" spans="1:7" ht="18.75" customHeight="1" x14ac:dyDescent="0.3">
      <c r="A110" s="283"/>
      <c r="B110" s="283"/>
      <c r="C110" s="406" t="s">
        <v>76</v>
      </c>
      <c r="D110" s="400">
        <f>D109*$B$107</f>
        <v>0.35</v>
      </c>
      <c r="E110" s="283"/>
      <c r="F110" s="337"/>
      <c r="G110" s="402"/>
    </row>
    <row r="111" spans="1:7" ht="19.5" customHeight="1" thickBot="1" x14ac:dyDescent="0.35">
      <c r="A111" s="283"/>
      <c r="B111" s="283"/>
      <c r="C111" s="407" t="s">
        <v>77</v>
      </c>
      <c r="D111" s="408">
        <f>D110/B96</f>
        <v>0.35</v>
      </c>
      <c r="E111" s="283"/>
      <c r="F111" s="341"/>
      <c r="G111" s="402"/>
    </row>
    <row r="112" spans="1:7" ht="18.75" customHeight="1" x14ac:dyDescent="0.3">
      <c r="A112" s="283"/>
      <c r="B112" s="283"/>
      <c r="C112" s="409" t="s">
        <v>78</v>
      </c>
      <c r="D112" s="410" t="e">
        <f>AVERAGE(E100:E103,G100:G103)</f>
        <v>#DIV/0!</v>
      </c>
      <c r="E112" s="283"/>
      <c r="F112" s="341"/>
      <c r="G112" s="405"/>
    </row>
    <row r="113" spans="1:7" ht="18.75" customHeight="1" x14ac:dyDescent="0.3">
      <c r="A113" s="283"/>
      <c r="B113" s="283"/>
      <c r="C113" s="411" t="s">
        <v>79</v>
      </c>
      <c r="D113" s="412" t="e">
        <f>STDEV(E100:E103,G100:G103)/D112</f>
        <v>#DIV/0!</v>
      </c>
      <c r="E113" s="283"/>
      <c r="F113" s="341"/>
      <c r="G113" s="402"/>
    </row>
    <row r="114" spans="1:7" ht="19.5" customHeight="1" thickBot="1" x14ac:dyDescent="0.35">
      <c r="A114" s="283"/>
      <c r="B114" s="283"/>
      <c r="C114" s="413" t="s">
        <v>15</v>
      </c>
      <c r="D114" s="414">
        <f>COUNT(E100:E103,G100:G103)</f>
        <v>0</v>
      </c>
      <c r="E114" s="283"/>
      <c r="F114" s="341"/>
      <c r="G114" s="402"/>
    </row>
    <row r="115" spans="1:7" ht="19.5" customHeight="1" thickBot="1" x14ac:dyDescent="0.35">
      <c r="A115" s="284"/>
      <c r="B115" s="284"/>
      <c r="C115" s="284"/>
      <c r="D115" s="284"/>
      <c r="E115" s="284"/>
      <c r="F115" s="283"/>
      <c r="G115" s="283"/>
    </row>
    <row r="116" spans="1:7" ht="26.25" customHeight="1" x14ac:dyDescent="0.4">
      <c r="A116" s="302" t="s">
        <v>113</v>
      </c>
      <c r="B116" s="387">
        <v>1</v>
      </c>
      <c r="C116" s="388" t="s">
        <v>140</v>
      </c>
      <c r="D116" s="415" t="s">
        <v>58</v>
      </c>
      <c r="E116" s="416" t="s">
        <v>115</v>
      </c>
      <c r="F116" s="417" t="s">
        <v>116</v>
      </c>
      <c r="G116" s="283"/>
    </row>
    <row r="117" spans="1:7" ht="26.25" customHeight="1" x14ac:dyDescent="0.4">
      <c r="A117" s="304" t="s">
        <v>117</v>
      </c>
      <c r="B117" s="390">
        <v>1</v>
      </c>
      <c r="C117" s="359">
        <v>1</v>
      </c>
      <c r="D117" s="418"/>
      <c r="E117" s="356" t="str">
        <f t="shared" ref="E117:E122" si="3">IF(ISBLANK(D117),"-",D117/$D$112*$D$109*$B$125)</f>
        <v>-</v>
      </c>
      <c r="F117" s="419" t="str">
        <f t="shared" ref="F117:F122" si="4">IF(ISBLANK(D117), "-", E117/$B$56)</f>
        <v>-</v>
      </c>
      <c r="G117" s="283"/>
    </row>
    <row r="118" spans="1:7" ht="26.25" customHeight="1" x14ac:dyDescent="0.4">
      <c r="A118" s="304" t="s">
        <v>90</v>
      </c>
      <c r="B118" s="390">
        <v>1</v>
      </c>
      <c r="C118" s="359">
        <v>2</v>
      </c>
      <c r="D118" s="418"/>
      <c r="E118" s="361" t="str">
        <f t="shared" si="3"/>
        <v>-</v>
      </c>
      <c r="F118" s="420" t="str">
        <f t="shared" si="4"/>
        <v>-</v>
      </c>
      <c r="G118" s="283"/>
    </row>
    <row r="119" spans="1:7" ht="26.25" customHeight="1" x14ac:dyDescent="0.4">
      <c r="A119" s="304" t="s">
        <v>91</v>
      </c>
      <c r="B119" s="390">
        <v>1</v>
      </c>
      <c r="C119" s="359">
        <v>3</v>
      </c>
      <c r="D119" s="418"/>
      <c r="E119" s="361" t="str">
        <f t="shared" si="3"/>
        <v>-</v>
      </c>
      <c r="F119" s="420" t="str">
        <f t="shared" si="4"/>
        <v>-</v>
      </c>
      <c r="G119" s="283"/>
    </row>
    <row r="120" spans="1:7" ht="26.25" customHeight="1" x14ac:dyDescent="0.4">
      <c r="A120" s="304" t="s">
        <v>92</v>
      </c>
      <c r="B120" s="390">
        <v>1</v>
      </c>
      <c r="C120" s="359">
        <v>4</v>
      </c>
      <c r="D120" s="418"/>
      <c r="E120" s="361" t="str">
        <f t="shared" si="3"/>
        <v>-</v>
      </c>
      <c r="F120" s="420" t="str">
        <f t="shared" si="4"/>
        <v>-</v>
      </c>
      <c r="G120" s="283"/>
    </row>
    <row r="121" spans="1:7" ht="26.25" customHeight="1" x14ac:dyDescent="0.4">
      <c r="A121" s="304" t="s">
        <v>93</v>
      </c>
      <c r="B121" s="390">
        <v>1</v>
      </c>
      <c r="C121" s="359">
        <v>5</v>
      </c>
      <c r="D121" s="418"/>
      <c r="E121" s="361" t="str">
        <f t="shared" si="3"/>
        <v>-</v>
      </c>
      <c r="F121" s="420" t="str">
        <f t="shared" si="4"/>
        <v>-</v>
      </c>
      <c r="G121" s="283"/>
    </row>
    <row r="122" spans="1:7" ht="26.25" customHeight="1" x14ac:dyDescent="0.4">
      <c r="A122" s="304" t="s">
        <v>95</v>
      </c>
      <c r="B122" s="390">
        <v>1</v>
      </c>
      <c r="C122" s="421">
        <v>6</v>
      </c>
      <c r="D122" s="422"/>
      <c r="E122" s="423" t="str">
        <f t="shared" si="3"/>
        <v>-</v>
      </c>
      <c r="F122" s="424" t="str">
        <f t="shared" si="4"/>
        <v>-</v>
      </c>
      <c r="G122" s="283"/>
    </row>
    <row r="123" spans="1:7" ht="26.25" customHeight="1" x14ac:dyDescent="0.4">
      <c r="A123" s="304" t="s">
        <v>96</v>
      </c>
      <c r="B123" s="390">
        <v>1</v>
      </c>
      <c r="C123" s="359"/>
      <c r="D123" s="330"/>
      <c r="E123" s="283"/>
      <c r="F123" s="363"/>
      <c r="G123" s="283"/>
    </row>
    <row r="124" spans="1:7" ht="26.25" customHeight="1" x14ac:dyDescent="0.4">
      <c r="A124" s="304" t="s">
        <v>97</v>
      </c>
      <c r="B124" s="390">
        <v>1</v>
      </c>
      <c r="C124" s="359"/>
      <c r="D124" s="425"/>
      <c r="E124" s="426" t="s">
        <v>66</v>
      </c>
      <c r="F124" s="427" t="e">
        <f>AVERAGE(F117:F122)</f>
        <v>#DIV/0!</v>
      </c>
      <c r="G124" s="283"/>
    </row>
    <row r="125" spans="1:7" ht="27" customHeight="1" thickBot="1" x14ac:dyDescent="0.45">
      <c r="A125" s="304" t="s">
        <v>98</v>
      </c>
      <c r="B125" s="314">
        <f>(B124/B123)*(B122/B121)*(B120/B119)*(B118/B117)*B116</f>
        <v>1</v>
      </c>
      <c r="C125" s="428"/>
      <c r="D125" s="429"/>
      <c r="E125" s="292" t="s">
        <v>79</v>
      </c>
      <c r="F125" s="374" t="e">
        <f>STDEV(F117:F122)/F124</f>
        <v>#DIV/0!</v>
      </c>
      <c r="G125" s="283"/>
    </row>
    <row r="126" spans="1:7" ht="27" customHeight="1" thickBot="1" x14ac:dyDescent="0.45">
      <c r="A126" s="503" t="s">
        <v>73</v>
      </c>
      <c r="B126" s="504"/>
      <c r="C126" s="430"/>
      <c r="D126" s="431"/>
      <c r="E126" s="432" t="s">
        <v>15</v>
      </c>
      <c r="F126" s="433">
        <f>COUNT(F117:F122)</f>
        <v>0</v>
      </c>
      <c r="G126" s="283"/>
    </row>
    <row r="127" spans="1:7" ht="19.5" customHeight="1" thickBot="1" x14ac:dyDescent="0.35">
      <c r="A127" s="505"/>
      <c r="B127" s="506"/>
      <c r="C127" s="283"/>
      <c r="D127" s="283"/>
      <c r="E127" s="283"/>
      <c r="F127" s="330"/>
      <c r="G127" s="283"/>
    </row>
    <row r="128" spans="1:7" ht="18.75" customHeight="1" x14ac:dyDescent="0.3">
      <c r="A128" s="299"/>
      <c r="B128" s="299"/>
      <c r="C128" s="283"/>
      <c r="D128" s="283"/>
      <c r="E128" s="283"/>
      <c r="F128" s="330"/>
      <c r="G128" s="283"/>
    </row>
    <row r="129" spans="1:7" ht="18.75" customHeight="1" x14ac:dyDescent="0.3">
      <c r="A129" s="291" t="s">
        <v>131</v>
      </c>
      <c r="B129" s="292" t="s">
        <v>118</v>
      </c>
      <c r="C129" s="491" t="str">
        <f>B20</f>
        <v>Norethindrone USP</v>
      </c>
      <c r="D129" s="491"/>
      <c r="E129" s="283" t="s">
        <v>119</v>
      </c>
      <c r="F129" s="283"/>
      <c r="G129" s="380" t="e">
        <f>F124</f>
        <v>#DIV/0!</v>
      </c>
    </row>
    <row r="130" spans="1:7" ht="19.5" customHeight="1" thickBot="1" x14ac:dyDescent="0.35">
      <c r="A130" s="434"/>
      <c r="B130" s="434"/>
      <c r="C130" s="435"/>
      <c r="D130" s="435"/>
      <c r="E130" s="435"/>
      <c r="F130" s="435"/>
      <c r="G130" s="435"/>
    </row>
    <row r="131" spans="1:7" ht="18.75" customHeight="1" x14ac:dyDescent="0.3">
      <c r="A131" s="283"/>
      <c r="B131" s="490" t="s">
        <v>21</v>
      </c>
      <c r="C131" s="490"/>
      <c r="D131" s="283"/>
      <c r="E131" s="436" t="s">
        <v>22</v>
      </c>
      <c r="F131" s="437"/>
      <c r="G131" s="436" t="s">
        <v>23</v>
      </c>
    </row>
    <row r="132" spans="1:7" ht="60" customHeight="1" x14ac:dyDescent="0.3">
      <c r="A132" s="291" t="s">
        <v>24</v>
      </c>
      <c r="B132" s="438"/>
      <c r="C132" s="438"/>
      <c r="D132" s="283"/>
      <c r="E132" s="438" t="s">
        <v>141</v>
      </c>
      <c r="F132" s="283"/>
      <c r="G132" s="438"/>
    </row>
    <row r="133" spans="1:7" ht="60" customHeight="1" x14ac:dyDescent="0.3">
      <c r="A133" s="291" t="s">
        <v>25</v>
      </c>
      <c r="B133" s="439"/>
      <c r="C133" s="439"/>
      <c r="D133" s="283"/>
      <c r="E133" s="439"/>
      <c r="F133" s="283"/>
      <c r="G133" s="440"/>
    </row>
    <row r="250" spans="1:1" x14ac:dyDescent="0.2">
      <c r="A250" s="28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7">
    <mergeCell ref="A68:B69"/>
    <mergeCell ref="A1:G7"/>
    <mergeCell ref="A8:G14"/>
    <mergeCell ref="A16:G16"/>
    <mergeCell ref="B26:C26"/>
    <mergeCell ref="B27:C27"/>
    <mergeCell ref="C29:G29"/>
    <mergeCell ref="C31:G31"/>
    <mergeCell ref="C32:G32"/>
    <mergeCell ref="D36:E36"/>
    <mergeCell ref="F36:G36"/>
    <mergeCell ref="A46:B47"/>
    <mergeCell ref="B18:C18"/>
    <mergeCell ref="B20:C20"/>
    <mergeCell ref="B21:H21"/>
    <mergeCell ref="B131:C131"/>
    <mergeCell ref="C74:D74"/>
    <mergeCell ref="B78:C78"/>
    <mergeCell ref="B87:C87"/>
    <mergeCell ref="B88:C88"/>
    <mergeCell ref="C90:G90"/>
    <mergeCell ref="C93:G93"/>
    <mergeCell ref="C94:G94"/>
    <mergeCell ref="F98:G98"/>
    <mergeCell ref="A108:B109"/>
    <mergeCell ref="A126:B127"/>
    <mergeCell ref="C129:D129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8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Uniformity</vt:lpstr>
      <vt:lpstr>Norethindrone USP</vt:lpstr>
      <vt:lpstr>Norethindrone </vt:lpstr>
      <vt:lpstr>'Norethindrone '!Print_Area</vt:lpstr>
      <vt:lpstr>'Norethindrone USP'!Print_Area</vt:lpstr>
      <vt:lpstr>SST!Print_Area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Muteru</cp:lastModifiedBy>
  <cp:lastPrinted>2016-07-20T11:08:08Z</cp:lastPrinted>
  <dcterms:created xsi:type="dcterms:W3CDTF">2005-07-05T10:19:27Z</dcterms:created>
  <dcterms:modified xsi:type="dcterms:W3CDTF">2016-08-17T13:53:13Z</dcterms:modified>
  <cp:category/>
</cp:coreProperties>
</file>