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Joy\2016\August\"/>
    </mc:Choice>
  </mc:AlternateContent>
  <bookViews>
    <workbookView xWindow="390" yWindow="525" windowWidth="20775" windowHeight="11445" activeTab="3"/>
  </bookViews>
  <sheets>
    <sheet name="Uniformity" sheetId="5" r:id="rId1"/>
    <sheet name="SST" sheetId="1" r:id="rId2"/>
    <sheet name="SST ethinyl" sheetId="8" r:id="rId3"/>
    <sheet name="Desogestrel" sheetId="4" r:id="rId4"/>
    <sheet name="Ethinyl estradiol 2" sheetId="6" r:id="rId5"/>
  </sheets>
  <externalReferences>
    <externalReference r:id="rId6"/>
  </externalReferences>
  <definedNames>
    <definedName name="_xlnm.Print_Area" localSheetId="3">Desogestrel!$A$1:$H$140</definedName>
    <definedName name="_xlnm.Print_Area" localSheetId="4">'Ethinyl estradiol 2'!$A$1:$H$140</definedName>
    <definedName name="_xlnm.Print_Area" localSheetId="0">Uniformity!$A$1:$J$60</definedName>
  </definedNames>
  <calcPr calcId="152511"/>
</workbook>
</file>

<file path=xl/calcChain.xml><?xml version="1.0" encoding="utf-8"?>
<calcChain xmlns="http://schemas.openxmlformats.org/spreadsheetml/2006/main">
  <c r="B20" i="8" l="1"/>
  <c r="B19" i="8"/>
  <c r="B18" i="8"/>
  <c r="B53" i="8"/>
  <c r="E51" i="8"/>
  <c r="D51" i="8"/>
  <c r="C51" i="8"/>
  <c r="B51" i="8"/>
  <c r="B52" i="8" s="1"/>
  <c r="B32" i="8"/>
  <c r="E30" i="8"/>
  <c r="D30" i="8"/>
  <c r="C30" i="8"/>
  <c r="B30" i="8"/>
  <c r="B31" i="8" s="1"/>
  <c r="B17" i="8"/>
  <c r="B20" i="1"/>
  <c r="B19" i="1"/>
  <c r="B18" i="1"/>
  <c r="B17" i="1"/>
  <c r="B23" i="6"/>
  <c r="B41" i="1"/>
  <c r="B89" i="4" l="1"/>
  <c r="B40" i="1" s="1"/>
  <c r="B88" i="4"/>
  <c r="B87" i="4"/>
  <c r="B39" i="1" s="1"/>
  <c r="C129" i="6" l="1"/>
  <c r="B125" i="6"/>
  <c r="D109" i="6" s="1"/>
  <c r="F122" i="6"/>
  <c r="E122" i="6"/>
  <c r="F121" i="6"/>
  <c r="E121" i="6"/>
  <c r="F120" i="6"/>
  <c r="E120" i="6"/>
  <c r="F119" i="6"/>
  <c r="E119" i="6"/>
  <c r="F118" i="6"/>
  <c r="E118" i="6"/>
  <c r="F117" i="6"/>
  <c r="E117" i="6"/>
  <c r="B107" i="6"/>
  <c r="D106" i="6"/>
  <c r="F104" i="6"/>
  <c r="D104" i="6"/>
  <c r="G103" i="6"/>
  <c r="E103" i="6"/>
  <c r="G102" i="6"/>
  <c r="E102" i="6"/>
  <c r="G101" i="6"/>
  <c r="E101" i="6"/>
  <c r="G100" i="6"/>
  <c r="E100" i="6"/>
  <c r="B96" i="6"/>
  <c r="F106" i="6" s="1"/>
  <c r="B90" i="6"/>
  <c r="B89" i="6"/>
  <c r="C74" i="6"/>
  <c r="B67" i="6"/>
  <c r="B57" i="6"/>
  <c r="C56" i="6"/>
  <c r="B55" i="6"/>
  <c r="B45" i="6"/>
  <c r="D48" i="6" s="1"/>
  <c r="F42" i="6"/>
  <c r="D42" i="6"/>
  <c r="G41" i="6"/>
  <c r="E41" i="6"/>
  <c r="B34" i="6"/>
  <c r="D44" i="6" s="1"/>
  <c r="B30" i="6"/>
  <c r="B22" i="6"/>
  <c r="C46" i="5"/>
  <c r="C49" i="5" s="1"/>
  <c r="C45" i="5"/>
  <c r="D37" i="5"/>
  <c r="D29" i="5"/>
  <c r="C19" i="5"/>
  <c r="B125" i="4"/>
  <c r="D109" i="4" s="1"/>
  <c r="B107" i="4"/>
  <c r="D106" i="4"/>
  <c r="F104" i="4"/>
  <c r="D104" i="4"/>
  <c r="B96" i="4"/>
  <c r="F106" i="4" s="1"/>
  <c r="B90" i="4"/>
  <c r="B91" i="4" s="1"/>
  <c r="B67" i="4"/>
  <c r="B45" i="4"/>
  <c r="D48" i="4" s="1"/>
  <c r="F44" i="4"/>
  <c r="F42" i="4"/>
  <c r="D42" i="4"/>
  <c r="G41" i="4"/>
  <c r="E41" i="4"/>
  <c r="B34" i="4"/>
  <c r="D44" i="4" s="1"/>
  <c r="B30" i="4"/>
  <c r="B22" i="4"/>
  <c r="B55" i="4"/>
  <c r="C129" i="4"/>
  <c r="D24" i="5" l="1"/>
  <c r="D32" i="5"/>
  <c r="D40" i="5"/>
  <c r="D49" i="5"/>
  <c r="D107" i="4"/>
  <c r="D108" i="4" s="1"/>
  <c r="B42" i="1" s="1"/>
  <c r="D25" i="5"/>
  <c r="D33" i="5"/>
  <c r="D41" i="5"/>
  <c r="D28" i="5"/>
  <c r="D36" i="5"/>
  <c r="B91" i="6"/>
  <c r="F107" i="4"/>
  <c r="F108" i="4" s="1"/>
  <c r="D110" i="4"/>
  <c r="F107" i="6"/>
  <c r="F108" i="6" s="1"/>
  <c r="D110" i="6"/>
  <c r="D111" i="6" s="1"/>
  <c r="F44" i="6"/>
  <c r="F45" i="6" s="1"/>
  <c r="D45" i="6"/>
  <c r="D46" i="6" s="1"/>
  <c r="B21" i="8" s="1"/>
  <c r="E104" i="6"/>
  <c r="F124" i="6"/>
  <c r="F125" i="6" s="1"/>
  <c r="G104" i="6"/>
  <c r="D107" i="6"/>
  <c r="D108" i="6" s="1"/>
  <c r="D49" i="6"/>
  <c r="D112" i="6"/>
  <c r="D113" i="6" s="1"/>
  <c r="D114" i="6"/>
  <c r="F126" i="6"/>
  <c r="C50" i="5"/>
  <c r="D26" i="5"/>
  <c r="D30" i="5"/>
  <c r="D34" i="5"/>
  <c r="D38" i="5"/>
  <c r="D42" i="5"/>
  <c r="B49" i="5"/>
  <c r="D50" i="5"/>
  <c r="D27" i="5"/>
  <c r="D31" i="5"/>
  <c r="D35" i="5"/>
  <c r="D39" i="5"/>
  <c r="D43" i="5"/>
  <c r="D45" i="4"/>
  <c r="D46" i="4" s="1"/>
  <c r="B21" i="1" s="1"/>
  <c r="F45" i="4"/>
  <c r="F46" i="4" s="1"/>
  <c r="D49" i="4"/>
  <c r="C74" i="4"/>
  <c r="C56" i="4"/>
  <c r="E39" i="6" l="1"/>
  <c r="E40" i="6"/>
  <c r="D111" i="4"/>
  <c r="E100" i="4"/>
  <c r="E103" i="4"/>
  <c r="E102" i="4"/>
  <c r="E101" i="4"/>
  <c r="G103" i="4"/>
  <c r="G102" i="4"/>
  <c r="G101" i="4"/>
  <c r="G100" i="4"/>
  <c r="F46" i="6"/>
  <c r="G39" i="6"/>
  <c r="G40" i="6"/>
  <c r="G38" i="6"/>
  <c r="E38" i="6"/>
  <c r="G129" i="6"/>
  <c r="E40" i="4"/>
  <c r="G38" i="4"/>
  <c r="G39" i="4"/>
  <c r="G40" i="4"/>
  <c r="E38" i="4"/>
  <c r="E39" i="4"/>
  <c r="E42" i="4" l="1"/>
  <c r="D52" i="4"/>
  <c r="E104" i="4"/>
  <c r="D112" i="4"/>
  <c r="D113" i="4" s="1"/>
  <c r="G104" i="4"/>
  <c r="D114" i="4"/>
  <c r="G42" i="6"/>
  <c r="D50" i="6"/>
  <c r="E65" i="6" s="1"/>
  <c r="D52" i="6"/>
  <c r="E42" i="6"/>
  <c r="G42" i="4"/>
  <c r="D50" i="4"/>
  <c r="D51" i="4" s="1"/>
  <c r="E59" i="4" l="1"/>
  <c r="G59" i="4" s="1"/>
  <c r="E120" i="4"/>
  <c r="F120" i="4" s="1"/>
  <c r="E122" i="4"/>
  <c r="F122" i="4" s="1"/>
  <c r="E118" i="4"/>
  <c r="F118" i="4" s="1"/>
  <c r="E117" i="4"/>
  <c r="F117" i="4" s="1"/>
  <c r="E121" i="4"/>
  <c r="F121" i="4" s="1"/>
  <c r="E119" i="4"/>
  <c r="F119" i="4" s="1"/>
  <c r="E68" i="6"/>
  <c r="G68" i="6" s="1"/>
  <c r="D51" i="6"/>
  <c r="E59" i="6"/>
  <c r="G59" i="6" s="1"/>
  <c r="E60" i="6"/>
  <c r="G60" i="6" s="1"/>
  <c r="E61" i="6"/>
  <c r="G61" i="6" s="1"/>
  <c r="E67" i="6"/>
  <c r="G67" i="6" s="1"/>
  <c r="E64" i="6"/>
  <c r="G64" i="6" s="1"/>
  <c r="E62" i="6"/>
  <c r="G62" i="6" s="1"/>
  <c r="E63" i="6"/>
  <c r="G63" i="6" s="1"/>
  <c r="E66" i="6"/>
  <c r="G66" i="6" s="1"/>
  <c r="G65" i="6"/>
  <c r="B57" i="4"/>
  <c r="E68" i="4"/>
  <c r="G68" i="4" s="1"/>
  <c r="E67" i="4"/>
  <c r="G67" i="4" s="1"/>
  <c r="E61" i="4"/>
  <c r="G61" i="4" s="1"/>
  <c r="E63" i="4"/>
  <c r="G63" i="4" s="1"/>
  <c r="E65" i="4"/>
  <c r="G65" i="4" s="1"/>
  <c r="E62" i="4"/>
  <c r="G62" i="4" s="1"/>
  <c r="E60" i="4"/>
  <c r="G60" i="4" s="1"/>
  <c r="E64" i="4"/>
  <c r="G64" i="4" s="1"/>
  <c r="E66" i="4"/>
  <c r="G66" i="4" s="1"/>
  <c r="F124" i="4" l="1"/>
  <c r="G129" i="4" s="1"/>
  <c r="F126" i="4"/>
  <c r="E72" i="6"/>
  <c r="E70" i="6"/>
  <c r="E71" i="6" s="1"/>
  <c r="G72" i="6"/>
  <c r="G70" i="6"/>
  <c r="C81" i="6"/>
  <c r="E70" i="4"/>
  <c r="E71" i="4" s="1"/>
  <c r="E72" i="4"/>
  <c r="C81" i="4"/>
  <c r="G70" i="4"/>
  <c r="G72" i="4"/>
  <c r="F65" i="4" l="1"/>
  <c r="F125" i="4"/>
  <c r="F66" i="6"/>
  <c r="F61" i="6"/>
  <c r="F63" i="6"/>
  <c r="F65" i="6"/>
  <c r="F68" i="6"/>
  <c r="F62" i="6"/>
  <c r="F59" i="6"/>
  <c r="F60" i="6"/>
  <c r="F67" i="6"/>
  <c r="F64" i="6"/>
  <c r="C79" i="6"/>
  <c r="G74" i="6"/>
  <c r="C82" i="6"/>
  <c r="G71" i="6"/>
  <c r="F59" i="4"/>
  <c r="F61" i="4"/>
  <c r="F60" i="4"/>
  <c r="F64" i="4"/>
  <c r="F66" i="4"/>
  <c r="F67" i="4"/>
  <c r="F68" i="4"/>
  <c r="F63" i="4"/>
  <c r="F62" i="4"/>
  <c r="C82" i="4"/>
  <c r="G71" i="4"/>
  <c r="C79" i="4"/>
  <c r="G74" i="4"/>
  <c r="F72" i="6" l="1"/>
  <c r="F70" i="6"/>
  <c r="F71" i="6" s="1"/>
  <c r="C83" i="6"/>
  <c r="F72" i="4"/>
  <c r="F70" i="4"/>
  <c r="F71" i="4" s="1"/>
  <c r="C83" i="4"/>
  <c r="B53" i="1" l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<sst xmlns="http://schemas.openxmlformats.org/spreadsheetml/2006/main" count="435" uniqueCount="134">
  <si>
    <t>HPLC System Suitability Report</t>
  </si>
  <si>
    <t>Analysis Data</t>
  </si>
  <si>
    <t>Assay</t>
  </si>
  <si>
    <t>Sample(s)</t>
  </si>
  <si>
    <t>Reference Substance:</t>
  </si>
  <si>
    <t>ENSKYCE TM TABLETS</t>
  </si>
  <si>
    <t>% age Purity:</t>
  </si>
  <si>
    <t>NDQD201512639</t>
  </si>
  <si>
    <t>Weight (mg):</t>
  </si>
  <si>
    <t xml:space="preserve">Desogestral,
Ethnylestradiol </t>
  </si>
  <si>
    <t>Standard Conc (mg/mL):</t>
  </si>
  <si>
    <t>Each tablets contains:
Desogetrel 0.15 mg
Ethiylestradiol 0.03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</si>
  <si>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</si>
  <si>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</si>
  <si>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</si>
  <si>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</si>
  <si>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</si>
  <si>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</si>
  <si>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</si>
  <si>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</si>
  <si>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</si>
  <si>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</si>
  <si>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</si>
  <si>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</si>
  <si>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</si>
  <si>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</si>
  <si>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</si>
  <si>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</si>
  <si>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</si>
  <si>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</si>
  <si>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</si>
  <si>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</si>
  <si>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</si>
  <si>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</si>
  <si>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</si>
  <si>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</si>
  <si>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</si>
  <si>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</si>
  <si>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</si>
  <si>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</si>
  <si>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</si>
  <si>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</si>
  <si>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</si>
  <si>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</si>
  <si>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</si>
  <si>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</si>
  <si>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</si>
  <si>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</si>
  <si>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</si>
  <si>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</si>
  <si>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</si>
  <si>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</si>
  <si>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</si>
  <si>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</si>
  <si>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</si>
  <si>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</si>
  <si>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</si>
  <si>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</si>
  <si>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</si>
  <si>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</si>
  <si>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</si>
  <si>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</si>
  <si>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</si>
  <si>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</si>
  <si>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</si>
  <si>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</si>
  <si>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</si>
  <si>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</si>
  <si>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</si>
  <si>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</si>
  <si>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</si>
  <si>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</si>
  <si>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</si>
  <si>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</si>
  <si>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</si>
  <si>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</si>
  <si>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</si>
  <si>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</si>
  <si>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</si>
  <si>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</si>
  <si>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</si>
  <si>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</si>
  <si>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</si>
  <si>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</si>
  <si>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</si>
  <si>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</si>
  <si>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</si>
  <si>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</si>
  <si>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</si>
  <si>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</si>
  <si>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</si>
  <si>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</si>
  <si>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</si>
  <si>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</si>
  <si>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</si>
  <si>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>Sample Dilution Factor</t>
  </si>
  <si>
    <t xml:space="preserve">The amount  of </t>
  </si>
  <si>
    <t xml:space="preserve">dissolved as a percentage of the stated  label claim is </t>
  </si>
  <si>
    <t>PRS/E1-2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</si>
  <si>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</si>
  <si>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</si>
  <si>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</si>
  <si>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</si>
  <si>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</si>
  <si>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</si>
  <si>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</si>
  <si>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</si>
  <si>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Each Tablet contains</t>
  </si>
  <si>
    <t>Average Tablet Content Weight (mg):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</si>
  <si>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</si>
  <si>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</si>
  <si>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</si>
  <si>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</si>
  <si>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</si>
  <si>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</si>
  <si>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</si>
  <si>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</si>
  <si>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</si>
  <si>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Uniformity of Weight Test Report</t>
  </si>
  <si>
    <t>KURVELO</t>
  </si>
  <si>
    <t>NDQD201510440</t>
  </si>
  <si>
    <t>Levonorgestrel 0.15mg,Ethinylestradiol 0.03mg.</t>
  </si>
  <si>
    <t>Each light orange tablet (21) contains: Levonorgesterl USP 0.15mg
Ethinyl Estradiol USP 0.03mg</t>
  </si>
  <si>
    <t>2015-10-15 09:50:37</t>
  </si>
  <si>
    <t>Uniformity of weight</t>
  </si>
  <si>
    <t>Tablet weight (mg)</t>
  </si>
  <si>
    <t>% Deviation</t>
  </si>
  <si>
    <t>Total</t>
  </si>
  <si>
    <t>% Deviation from mean</t>
  </si>
  <si>
    <t>Desogestrel</t>
  </si>
  <si>
    <t>Ethinyl estradiol</t>
  </si>
  <si>
    <t>PRS/ D31-1</t>
  </si>
  <si>
    <t>8TH July 2016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</si>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</sst>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Calibri"/>
      <family val="2"/>
    </font>
    <font>
      <i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0" fillId="2" borderId="0"/>
  </cellStyleXfs>
  <cellXfs count="2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Protection="1"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0" fillId="2" borderId="0" xfId="1" applyFill="1"/>
    <xf numFmtId="0" fontId="13" fillId="2" borderId="0" xfId="1" applyFont="1" applyFill="1"/>
    <xf numFmtId="0" fontId="15" fillId="2" borderId="0" xfId="1" applyFont="1" applyFill="1"/>
    <xf numFmtId="0" fontId="16" fillId="2" borderId="0" xfId="1" applyFont="1" applyFill="1"/>
    <xf numFmtId="0" fontId="16" fillId="3" borderId="0" xfId="1" applyFont="1" applyFill="1" applyAlignment="1" applyProtection="1">
      <alignment horizontal="left"/>
      <protection locked="0"/>
    </xf>
    <xf numFmtId="0" fontId="18" fillId="3" borderId="0" xfId="1" applyFont="1" applyFill="1" applyProtection="1">
      <protection locked="0"/>
    </xf>
    <xf numFmtId="0" fontId="13" fillId="3" borderId="0" xfId="1" applyFont="1" applyFill="1" applyProtection="1">
      <protection locked="0"/>
    </xf>
    <xf numFmtId="166" fontId="18" fillId="3" borderId="0" xfId="1" applyNumberFormat="1" applyFont="1" applyFill="1" applyAlignment="1" applyProtection="1">
      <alignment horizontal="left"/>
      <protection locked="0"/>
    </xf>
    <xf numFmtId="0" fontId="18" fillId="2" borderId="0" xfId="1" applyFont="1" applyFill="1"/>
    <xf numFmtId="166" fontId="13" fillId="2" borderId="0" xfId="1" applyNumberFormat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17" fillId="3" borderId="0" xfId="1" applyFont="1" applyFill="1" applyAlignment="1" applyProtection="1">
      <alignment horizontal="center"/>
      <protection locked="0"/>
    </xf>
    <xf numFmtId="0" fontId="18" fillId="3" borderId="0" xfId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horizontal="center"/>
    </xf>
    <xf numFmtId="0" fontId="19" fillId="2" borderId="0" xfId="1" applyFont="1" applyFill="1"/>
    <xf numFmtId="2" fontId="17" fillId="3" borderId="0" xfId="1" applyNumberFormat="1" applyFont="1" applyFill="1" applyAlignment="1" applyProtection="1">
      <alignment horizontal="center"/>
      <protection locked="0"/>
    </xf>
    <xf numFmtId="2" fontId="16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16" fillId="2" borderId="0" xfId="1" applyNumberFormat="1" applyFont="1" applyFill="1" applyAlignment="1">
      <alignment horizontal="center"/>
    </xf>
    <xf numFmtId="0" fontId="20" fillId="2" borderId="0" xfId="1" applyFont="1" applyFill="1"/>
    <xf numFmtId="0" fontId="13" fillId="2" borderId="12" xfId="1" applyFont="1" applyFill="1" applyBorder="1" applyAlignment="1">
      <alignment horizontal="right"/>
    </xf>
    <xf numFmtId="0" fontId="17" fillId="3" borderId="13" xfId="1" applyFont="1" applyFill="1" applyBorder="1" applyAlignment="1" applyProtection="1">
      <alignment horizontal="center"/>
      <protection locked="0"/>
    </xf>
    <xf numFmtId="0" fontId="13" fillId="2" borderId="14" xfId="1" applyFont="1" applyFill="1" applyBorder="1" applyAlignment="1">
      <alignment horizontal="right"/>
    </xf>
    <xf numFmtId="0" fontId="17" fillId="3" borderId="15" xfId="1" applyFont="1" applyFill="1" applyBorder="1" applyAlignment="1" applyProtection="1">
      <alignment horizontal="center"/>
      <protection locked="0"/>
    </xf>
    <xf numFmtId="0" fontId="16" fillId="2" borderId="16" xfId="1" applyFont="1" applyFill="1" applyBorder="1" applyAlignment="1">
      <alignment horizontal="center"/>
    </xf>
    <xf numFmtId="0" fontId="16" fillId="2" borderId="17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17" fillId="3" borderId="21" xfId="1" applyFont="1" applyFill="1" applyBorder="1" applyAlignment="1" applyProtection="1">
      <alignment horizontal="center"/>
      <protection locked="0"/>
    </xf>
    <xf numFmtId="168" fontId="13" fillId="2" borderId="18" xfId="1" applyNumberFormat="1" applyFont="1" applyFill="1" applyBorder="1" applyAlignment="1">
      <alignment horizontal="center"/>
    </xf>
    <xf numFmtId="168" fontId="13" fillId="2" borderId="19" xfId="1" applyNumberFormat="1" applyFont="1" applyFill="1" applyBorder="1" applyAlignment="1">
      <alignment horizontal="center"/>
    </xf>
    <xf numFmtId="0" fontId="13" fillId="2" borderId="22" xfId="1" applyFont="1" applyFill="1" applyBorder="1" applyAlignment="1">
      <alignment horizontal="center"/>
    </xf>
    <xf numFmtId="0" fontId="17" fillId="3" borderId="14" xfId="1" applyFont="1" applyFill="1" applyBorder="1" applyAlignment="1" applyProtection="1">
      <alignment horizontal="center"/>
      <protection locked="0"/>
    </xf>
    <xf numFmtId="168" fontId="13" fillId="2" borderId="23" xfId="1" applyNumberFormat="1" applyFont="1" applyFill="1" applyBorder="1" applyAlignment="1">
      <alignment horizontal="center"/>
    </xf>
    <xf numFmtId="168" fontId="13" fillId="2" borderId="15" xfId="1" applyNumberFormat="1" applyFont="1" applyFill="1" applyBorder="1" applyAlignment="1">
      <alignment horizontal="center"/>
    </xf>
    <xf numFmtId="0" fontId="13" fillId="2" borderId="24" xfId="1" applyFont="1" applyFill="1" applyBorder="1" applyAlignment="1">
      <alignment horizontal="center"/>
    </xf>
    <xf numFmtId="0" fontId="17" fillId="3" borderId="25" xfId="1" applyFont="1" applyFill="1" applyBorder="1" applyAlignment="1" applyProtection="1">
      <alignment horizontal="center"/>
      <protection locked="0"/>
    </xf>
    <xf numFmtId="168" fontId="13" fillId="2" borderId="26" xfId="1" applyNumberFormat="1" applyFont="1" applyFill="1" applyBorder="1" applyAlignment="1">
      <alignment horizontal="center"/>
    </xf>
    <xf numFmtId="168" fontId="13" fillId="2" borderId="27" xfId="1" applyNumberFormat="1" applyFont="1" applyFill="1" applyBorder="1" applyAlignment="1">
      <alignment horizontal="center"/>
    </xf>
    <xf numFmtId="0" fontId="13" fillId="2" borderId="22" xfId="1" applyFont="1" applyFill="1" applyBorder="1" applyAlignment="1">
      <alignment horizontal="right"/>
    </xf>
    <xf numFmtId="1" fontId="16" fillId="6" borderId="28" xfId="1" applyNumberFormat="1" applyFont="1" applyFill="1" applyBorder="1" applyAlignment="1">
      <alignment horizontal="center"/>
    </xf>
    <xf numFmtId="168" fontId="16" fillId="6" borderId="29" xfId="1" applyNumberFormat="1" applyFont="1" applyFill="1" applyBorder="1" applyAlignment="1">
      <alignment horizontal="center"/>
    </xf>
    <xf numFmtId="168" fontId="16" fillId="6" borderId="30" xfId="1" applyNumberFormat="1" applyFont="1" applyFill="1" applyBorder="1" applyAlignment="1">
      <alignment horizontal="center"/>
    </xf>
    <xf numFmtId="0" fontId="13" fillId="2" borderId="31" xfId="1" applyFont="1" applyFill="1" applyBorder="1" applyAlignment="1">
      <alignment horizontal="right"/>
    </xf>
    <xf numFmtId="0" fontId="17" fillId="3" borderId="32" xfId="1" applyFont="1" applyFill="1" applyBorder="1" applyAlignment="1" applyProtection="1">
      <alignment horizontal="center"/>
      <protection locked="0"/>
    </xf>
    <xf numFmtId="0" fontId="13" fillId="2" borderId="11" xfId="1" applyFont="1" applyFill="1" applyBorder="1" applyAlignment="1">
      <alignment horizontal="right"/>
    </xf>
    <xf numFmtId="2" fontId="13" fillId="6" borderId="33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13" fillId="2" borderId="30" xfId="1" applyFont="1" applyFill="1" applyBorder="1" applyAlignment="1">
      <alignment horizontal="center"/>
    </xf>
    <xf numFmtId="2" fontId="13" fillId="7" borderId="33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6" borderId="34" xfId="1" applyNumberFormat="1" applyFont="1" applyFill="1" applyBorder="1" applyAlignment="1">
      <alignment horizontal="center"/>
    </xf>
    <xf numFmtId="0" fontId="13" fillId="2" borderId="35" xfId="1" applyFont="1" applyFill="1" applyBorder="1" applyAlignment="1">
      <alignment horizontal="right"/>
    </xf>
    <xf numFmtId="0" fontId="17" fillId="3" borderId="33" xfId="1" applyFont="1" applyFill="1" applyBorder="1" applyAlignment="1" applyProtection="1">
      <alignment horizontal="center"/>
      <protection locked="0"/>
    </xf>
    <xf numFmtId="1" fontId="13" fillId="2" borderId="0" xfId="1" applyNumberFormat="1" applyFont="1" applyFill="1" applyAlignment="1">
      <alignment horizontal="center"/>
    </xf>
    <xf numFmtId="0" fontId="13" fillId="2" borderId="21" xfId="1" applyFont="1" applyFill="1" applyBorder="1" applyAlignment="1">
      <alignment horizontal="right"/>
    </xf>
    <xf numFmtId="2" fontId="13" fillId="6" borderId="36" xfId="1" applyNumberFormat="1" applyFont="1" applyFill="1" applyBorder="1" applyAlignment="1">
      <alignment horizontal="center"/>
    </xf>
    <xf numFmtId="168" fontId="16" fillId="7" borderId="37" xfId="1" applyNumberFormat="1" applyFont="1" applyFill="1" applyBorder="1" applyAlignment="1">
      <alignment horizontal="center"/>
    </xf>
    <xf numFmtId="168" fontId="13" fillId="2" borderId="0" xfId="1" applyNumberFormat="1" applyFont="1" applyFill="1" applyAlignment="1">
      <alignment horizontal="center"/>
    </xf>
    <xf numFmtId="10" fontId="13" fillId="6" borderId="33" xfId="1" applyNumberFormat="1" applyFont="1" applyFill="1" applyBorder="1" applyAlignment="1">
      <alignment horizontal="center"/>
    </xf>
    <xf numFmtId="0" fontId="13" fillId="2" borderId="38" xfId="1" applyFont="1" applyFill="1" applyBorder="1" applyAlignment="1">
      <alignment horizontal="right"/>
    </xf>
    <xf numFmtId="0" fontId="13" fillId="7" borderId="36" xfId="1" applyFont="1" applyFill="1" applyBorder="1" applyAlignment="1">
      <alignment horizontal="center"/>
    </xf>
    <xf numFmtId="0" fontId="16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22" fillId="2" borderId="0" xfId="1" applyFont="1" applyFill="1"/>
    <xf numFmtId="0" fontId="23" fillId="2" borderId="0" xfId="1" applyFont="1" applyFill="1"/>
    <xf numFmtId="0" fontId="16" fillId="2" borderId="39" xfId="1" applyFont="1" applyFill="1" applyBorder="1" applyAlignment="1">
      <alignment horizontal="center"/>
    </xf>
    <xf numFmtId="0" fontId="16" fillId="7" borderId="40" xfId="1" applyFont="1" applyFill="1" applyBorder="1" applyAlignment="1">
      <alignment horizontal="center"/>
    </xf>
    <xf numFmtId="0" fontId="16" fillId="7" borderId="10" xfId="1" applyFont="1" applyFill="1" applyBorder="1" applyAlignment="1">
      <alignment horizontal="center"/>
    </xf>
    <xf numFmtId="0" fontId="16" fillId="7" borderId="41" xfId="1" applyFont="1" applyFill="1" applyBorder="1" applyAlignment="1">
      <alignment horizontal="center" wrapText="1"/>
    </xf>
    <xf numFmtId="0" fontId="16" fillId="7" borderId="16" xfId="1" applyFont="1" applyFill="1" applyBorder="1" applyAlignment="1">
      <alignment horizontal="center" wrapText="1"/>
    </xf>
    <xf numFmtId="0" fontId="13" fillId="2" borderId="21" xfId="1" applyFont="1" applyFill="1" applyBorder="1" applyAlignment="1">
      <alignment horizontal="center"/>
    </xf>
    <xf numFmtId="0" fontId="18" fillId="3" borderId="4" xfId="1" applyFont="1" applyFill="1" applyBorder="1" applyAlignment="1" applyProtection="1">
      <alignment horizontal="center" wrapText="1"/>
      <protection locked="0"/>
    </xf>
    <xf numFmtId="2" fontId="13" fillId="2" borderId="18" xfId="1" applyNumberFormat="1" applyFont="1" applyFill="1" applyBorder="1" applyAlignment="1">
      <alignment horizontal="center"/>
    </xf>
    <xf numFmtId="2" fontId="13" fillId="2" borderId="4" xfId="1" applyNumberFormat="1" applyFont="1" applyFill="1" applyBorder="1" applyAlignment="1">
      <alignment horizontal="center"/>
    </xf>
    <xf numFmtId="2" fontId="13" fillId="2" borderId="20" xfId="1" applyNumberFormat="1" applyFont="1" applyFill="1" applyBorder="1" applyAlignment="1">
      <alignment horizontal="center"/>
    </xf>
    <xf numFmtId="0" fontId="13" fillId="2" borderId="14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 wrapText="1"/>
      <protection locked="0"/>
    </xf>
    <xf numFmtId="2" fontId="13" fillId="2" borderId="23" xfId="1" applyNumberFormat="1" applyFont="1" applyFill="1" applyBorder="1" applyAlignment="1">
      <alignment horizontal="center"/>
    </xf>
    <xf numFmtId="2" fontId="13" fillId="2" borderId="3" xfId="1" applyNumberFormat="1" applyFont="1" applyFill="1" applyBorder="1" applyAlignment="1">
      <alignment horizontal="center"/>
    </xf>
    <xf numFmtId="2" fontId="13" fillId="2" borderId="22" xfId="1" applyNumberFormat="1" applyFont="1" applyFill="1" applyBorder="1" applyAlignment="1">
      <alignment horizontal="center"/>
    </xf>
    <xf numFmtId="0" fontId="13" fillId="2" borderId="38" xfId="1" applyFont="1" applyFill="1" applyBorder="1" applyAlignment="1">
      <alignment horizontal="center"/>
    </xf>
    <xf numFmtId="0" fontId="18" fillId="3" borderId="42" xfId="1" applyFont="1" applyFill="1" applyBorder="1" applyAlignment="1" applyProtection="1">
      <alignment horizontal="center" wrapText="1"/>
      <protection locked="0"/>
    </xf>
    <xf numFmtId="2" fontId="13" fillId="2" borderId="29" xfId="1" applyNumberFormat="1" applyFont="1" applyFill="1" applyBorder="1" applyAlignment="1">
      <alignment horizontal="center"/>
    </xf>
    <xf numFmtId="2" fontId="13" fillId="2" borderId="42" xfId="1" applyNumberFormat="1" applyFont="1" applyFill="1" applyBorder="1" applyAlignment="1">
      <alignment horizontal="center"/>
    </xf>
    <xf numFmtId="2" fontId="13" fillId="2" borderId="43" xfId="1" applyNumberFormat="1" applyFont="1" applyFill="1" applyBorder="1" applyAlignment="1">
      <alignment horizontal="center"/>
    </xf>
    <xf numFmtId="0" fontId="13" fillId="2" borderId="22" xfId="1" applyFont="1" applyFill="1" applyBorder="1"/>
    <xf numFmtId="10" fontId="16" fillId="2" borderId="0" xfId="1" applyNumberFormat="1" applyFont="1" applyFill="1" applyAlignment="1">
      <alignment horizontal="center"/>
    </xf>
    <xf numFmtId="2" fontId="16" fillId="5" borderId="44" xfId="1" applyNumberFormat="1" applyFont="1" applyFill="1" applyBorder="1" applyAlignment="1">
      <alignment horizontal="center"/>
    </xf>
    <xf numFmtId="2" fontId="17" fillId="5" borderId="44" xfId="1" applyNumberFormat="1" applyFont="1" applyFill="1" applyBorder="1" applyAlignment="1">
      <alignment horizontal="center"/>
    </xf>
    <xf numFmtId="10" fontId="16" fillId="6" borderId="44" xfId="1" applyNumberFormat="1" applyFont="1" applyFill="1" applyBorder="1" applyAlignment="1">
      <alignment horizontal="center"/>
    </xf>
    <xf numFmtId="10" fontId="17" fillId="6" borderId="44" xfId="1" applyNumberFormat="1" applyFont="1" applyFill="1" applyBorder="1" applyAlignment="1">
      <alignment horizontal="center"/>
    </xf>
    <xf numFmtId="10" fontId="16" fillId="2" borderId="9" xfId="1" applyNumberFormat="1" applyFont="1" applyFill="1" applyBorder="1" applyAlignment="1">
      <alignment horizontal="center"/>
    </xf>
    <xf numFmtId="2" fontId="16" fillId="5" borderId="45" xfId="1" applyNumberFormat="1" applyFont="1" applyFill="1" applyBorder="1" applyAlignment="1">
      <alignment horizontal="center"/>
    </xf>
    <xf numFmtId="2" fontId="17" fillId="5" borderId="45" xfId="1" applyNumberFormat="1" applyFont="1" applyFill="1" applyBorder="1" applyAlignment="1">
      <alignment horizontal="center"/>
    </xf>
    <xf numFmtId="0" fontId="23" fillId="2" borderId="0" xfId="1" applyFont="1" applyFill="1" applyAlignment="1">
      <alignment horizontal="center"/>
    </xf>
    <xf numFmtId="169" fontId="16" fillId="2" borderId="0" xfId="1" applyNumberFormat="1" applyFont="1" applyFill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3" fillId="2" borderId="1" xfId="1" applyFont="1" applyFill="1" applyBorder="1" applyAlignment="1">
      <alignment horizontal="right"/>
    </xf>
    <xf numFmtId="2" fontId="13" fillId="2" borderId="1" xfId="1" applyNumberFormat="1" applyFont="1" applyFill="1" applyBorder="1" applyAlignment="1">
      <alignment horizontal="center"/>
    </xf>
    <xf numFmtId="0" fontId="18" fillId="3" borderId="1" xfId="1" applyFont="1" applyFill="1" applyBorder="1" applyAlignment="1" applyProtection="1">
      <alignment horizontal="center"/>
      <protection locked="0"/>
    </xf>
    <xf numFmtId="1" fontId="16" fillId="6" borderId="1" xfId="1" applyNumberFormat="1" applyFont="1" applyFill="1" applyBorder="1" applyAlignment="1">
      <alignment horizontal="center"/>
    </xf>
    <xf numFmtId="0" fontId="16" fillId="2" borderId="0" xfId="1" applyFont="1" applyFill="1" applyAlignment="1" applyProtection="1">
      <alignment horizontal="center"/>
      <protection locked="0"/>
    </xf>
    <xf numFmtId="0" fontId="25" fillId="2" borderId="0" xfId="1" applyFont="1" applyFill="1"/>
    <xf numFmtId="0" fontId="17" fillId="3" borderId="16" xfId="1" applyFont="1" applyFill="1" applyBorder="1" applyAlignment="1" applyProtection="1">
      <alignment horizontal="center"/>
      <protection locked="0"/>
    </xf>
    <xf numFmtId="0" fontId="16" fillId="2" borderId="4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17" fillId="3" borderId="22" xfId="1" applyFont="1" applyFill="1" applyBorder="1" applyAlignment="1" applyProtection="1">
      <alignment horizontal="center"/>
      <protection locked="0"/>
    </xf>
    <xf numFmtId="168" fontId="13" fillId="2" borderId="4" xfId="1" applyNumberFormat="1" applyFont="1" applyFill="1" applyBorder="1" applyAlignment="1">
      <alignment horizontal="center"/>
    </xf>
    <xf numFmtId="0" fontId="17" fillId="3" borderId="47" xfId="1" applyFont="1" applyFill="1" applyBorder="1" applyAlignment="1" applyProtection="1">
      <alignment horizontal="center"/>
      <protection locked="0"/>
    </xf>
    <xf numFmtId="168" fontId="13" fillId="2" borderId="3" xfId="1" applyNumberFormat="1" applyFont="1" applyFill="1" applyBorder="1" applyAlignment="1">
      <alignment horizontal="center"/>
    </xf>
    <xf numFmtId="168" fontId="17" fillId="3" borderId="0" xfId="1" applyNumberFormat="1" applyFont="1" applyFill="1" applyAlignment="1" applyProtection="1">
      <alignment horizontal="center"/>
      <protection locked="0"/>
    </xf>
    <xf numFmtId="168" fontId="13" fillId="2" borderId="5" xfId="1" applyNumberFormat="1" applyFont="1" applyFill="1" applyBorder="1" applyAlignment="1">
      <alignment horizontal="center"/>
    </xf>
    <xf numFmtId="168" fontId="17" fillId="3" borderId="7" xfId="1" applyNumberFormat="1" applyFont="1" applyFill="1" applyBorder="1" applyAlignment="1" applyProtection="1">
      <alignment horizontal="center"/>
      <protection locked="0"/>
    </xf>
    <xf numFmtId="168" fontId="16" fillId="6" borderId="48" xfId="1" applyNumberFormat="1" applyFont="1" applyFill="1" applyBorder="1" applyAlignment="1">
      <alignment horizontal="center"/>
    </xf>
    <xf numFmtId="168" fontId="16" fillId="6" borderId="36" xfId="1" applyNumberFormat="1" applyFont="1" applyFill="1" applyBorder="1" applyAlignment="1">
      <alignment horizontal="center"/>
    </xf>
    <xf numFmtId="0" fontId="17" fillId="3" borderId="49" xfId="1" applyFont="1" applyFill="1" applyBorder="1" applyAlignment="1" applyProtection="1">
      <alignment horizontal="center"/>
      <protection locked="0"/>
    </xf>
    <xf numFmtId="2" fontId="13" fillId="6" borderId="44" xfId="1" applyNumberFormat="1" applyFont="1" applyFill="1" applyBorder="1" applyAlignment="1">
      <alignment horizontal="center"/>
    </xf>
    <xf numFmtId="2" fontId="13" fillId="7" borderId="44" xfId="1" applyNumberFormat="1" applyFont="1" applyFill="1" applyBorder="1" applyAlignment="1">
      <alignment horizontal="center"/>
    </xf>
    <xf numFmtId="0" fontId="26" fillId="2" borderId="0" xfId="1" applyFont="1" applyFill="1"/>
    <xf numFmtId="0" fontId="13" fillId="2" borderId="57" xfId="1" applyFont="1" applyFill="1" applyBorder="1" applyAlignment="1">
      <alignment horizontal="right"/>
    </xf>
    <xf numFmtId="170" fontId="13" fillId="7" borderId="44" xfId="1" applyNumberFormat="1" applyFont="1" applyFill="1" applyBorder="1" applyAlignment="1">
      <alignment horizontal="center"/>
    </xf>
    <xf numFmtId="2" fontId="26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0" fontId="13" fillId="2" borderId="50" xfId="1" applyFont="1" applyFill="1" applyBorder="1" applyAlignment="1">
      <alignment horizontal="right"/>
    </xf>
    <xf numFmtId="2" fontId="13" fillId="7" borderId="19" xfId="1" applyNumberFormat="1" applyFont="1" applyFill="1" applyBorder="1" applyAlignment="1">
      <alignment horizontal="center"/>
    </xf>
    <xf numFmtId="0" fontId="13" fillId="2" borderId="32" xfId="1" applyFont="1" applyFill="1" applyBorder="1" applyAlignment="1">
      <alignment horizontal="right"/>
    </xf>
    <xf numFmtId="168" fontId="16" fillId="7" borderId="32" xfId="1" applyNumberFormat="1" applyFont="1" applyFill="1" applyBorder="1" applyAlignment="1">
      <alignment horizontal="center"/>
    </xf>
    <xf numFmtId="0" fontId="13" fillId="2" borderId="33" xfId="1" applyFont="1" applyFill="1" applyBorder="1" applyAlignment="1">
      <alignment horizontal="right"/>
    </xf>
    <xf numFmtId="10" fontId="16" fillId="6" borderId="33" xfId="1" applyNumberFormat="1" applyFont="1" applyFill="1" applyBorder="1" applyAlignment="1">
      <alignment horizontal="center"/>
    </xf>
    <xf numFmtId="0" fontId="13" fillId="2" borderId="34" xfId="1" applyFont="1" applyFill="1" applyBorder="1" applyAlignment="1">
      <alignment horizontal="right"/>
    </xf>
    <xf numFmtId="0" fontId="16" fillId="7" borderId="34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16" fillId="2" borderId="41" xfId="1" applyFont="1" applyFill="1" applyBorder="1"/>
    <xf numFmtId="0" fontId="16" fillId="2" borderId="16" xfId="1" applyFont="1" applyFill="1" applyBorder="1" applyAlignment="1">
      <alignment horizontal="center" wrapText="1"/>
    </xf>
    <xf numFmtId="168" fontId="17" fillId="3" borderId="23" xfId="1" applyNumberFormat="1" applyFont="1" applyFill="1" applyBorder="1" applyAlignment="1" applyProtection="1">
      <alignment horizontal="center"/>
      <protection locked="0"/>
    </xf>
    <xf numFmtId="10" fontId="13" fillId="2" borderId="19" xfId="1" applyNumberFormat="1" applyFont="1" applyFill="1" applyBorder="1" applyAlignment="1">
      <alignment horizontal="center"/>
    </xf>
    <xf numFmtId="10" fontId="13" fillId="2" borderId="15" xfId="1" applyNumberFormat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168" fontId="17" fillId="3" borderId="26" xfId="1" applyNumberFormat="1" applyFont="1" applyFill="1" applyBorder="1" applyAlignment="1" applyProtection="1">
      <alignment horizontal="center"/>
      <protection locked="0"/>
    </xf>
    <xf numFmtId="2" fontId="13" fillId="2" borderId="26" xfId="1" applyNumberFormat="1" applyFont="1" applyFill="1" applyBorder="1" applyAlignment="1">
      <alignment horizontal="center"/>
    </xf>
    <xf numFmtId="10" fontId="13" fillId="2" borderId="27" xfId="1" applyNumberFormat="1" applyFont="1" applyFill="1" applyBorder="1" applyAlignment="1">
      <alignment horizontal="center"/>
    </xf>
    <xf numFmtId="168" fontId="16" fillId="2" borderId="0" xfId="1" applyNumberFormat="1" applyFont="1" applyFill="1" applyAlignment="1">
      <alignment horizontal="center"/>
    </xf>
    <xf numFmtId="168" fontId="13" fillId="2" borderId="2" xfId="1" applyNumberFormat="1" applyFont="1" applyFill="1" applyBorder="1" applyAlignment="1">
      <alignment horizontal="right"/>
    </xf>
    <xf numFmtId="10" fontId="17" fillId="7" borderId="44" xfId="1" applyNumberFormat="1" applyFont="1" applyFill="1" applyBorder="1" applyAlignment="1">
      <alignment horizontal="center"/>
    </xf>
    <xf numFmtId="0" fontId="13" fillId="2" borderId="14" xfId="1" applyFont="1" applyFill="1" applyBorder="1"/>
    <xf numFmtId="0" fontId="13" fillId="2" borderId="6" xfId="1" applyFont="1" applyFill="1" applyBorder="1"/>
    <xf numFmtId="0" fontId="13" fillId="2" borderId="38" xfId="1" applyFont="1" applyFill="1" applyBorder="1"/>
    <xf numFmtId="0" fontId="13" fillId="2" borderId="51" xfId="1" applyFont="1" applyFill="1" applyBorder="1" applyAlignment="1">
      <alignment horizontal="center"/>
    </xf>
    <xf numFmtId="0" fontId="13" fillId="2" borderId="52" xfId="1" applyFont="1" applyFill="1" applyBorder="1" applyAlignment="1">
      <alignment horizontal="right"/>
    </xf>
    <xf numFmtId="0" fontId="17" fillId="7" borderId="34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6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3" fillId="2" borderId="7" xfId="1" applyFont="1" applyFill="1" applyBorder="1"/>
    <xf numFmtId="0" fontId="16" fillId="2" borderId="11" xfId="1" applyFont="1" applyFill="1" applyBorder="1"/>
    <xf numFmtId="0" fontId="13" fillId="2" borderId="11" xfId="1" applyFont="1" applyFill="1" applyBorder="1"/>
    <xf numFmtId="0" fontId="27" fillId="2" borderId="0" xfId="1" applyFont="1" applyFill="1"/>
    <xf numFmtId="0" fontId="28" fillId="2" borderId="0" xfId="1" applyFont="1" applyFill="1" applyAlignment="1">
      <alignment wrapText="1"/>
    </xf>
    <xf numFmtId="171" fontId="23" fillId="2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right"/>
    </xf>
    <xf numFmtId="171" fontId="23" fillId="2" borderId="0" xfId="1" applyNumberFormat="1" applyFont="1" applyFill="1"/>
    <xf numFmtId="0" fontId="22" fillId="2" borderId="0" xfId="1" applyFont="1" applyFill="1" applyAlignment="1">
      <alignment horizontal="left"/>
    </xf>
    <xf numFmtId="0" fontId="30" fillId="2" borderId="0" xfId="1" applyFont="1" applyFill="1"/>
    <xf numFmtId="164" fontId="27" fillId="2" borderId="0" xfId="1" applyNumberFormat="1" applyFont="1" applyFill="1"/>
    <xf numFmtId="164" fontId="29" fillId="2" borderId="58" xfId="1" applyNumberFormat="1" applyFont="1" applyFill="1" applyBorder="1" applyAlignment="1">
      <alignment horizontal="center" wrapText="1"/>
    </xf>
    <xf numFmtId="0" fontId="29" fillId="2" borderId="58" xfId="1" applyFont="1" applyFill="1" applyBorder="1" applyAlignment="1">
      <alignment horizontal="center" wrapText="1"/>
    </xf>
    <xf numFmtId="0" fontId="26" fillId="2" borderId="0" xfId="1" applyFont="1" applyFill="1" applyAlignment="1">
      <alignment horizontal="center"/>
    </xf>
    <xf numFmtId="2" fontId="23" fillId="3" borderId="59" xfId="1" applyNumberFormat="1" applyFont="1" applyFill="1" applyBorder="1" applyProtection="1">
      <protection locked="0"/>
    </xf>
    <xf numFmtId="10" fontId="23" fillId="2" borderId="37" xfId="1" applyNumberFormat="1" applyFont="1" applyFill="1" applyBorder="1" applyAlignment="1">
      <alignment horizontal="center"/>
    </xf>
    <xf numFmtId="10" fontId="23" fillId="2" borderId="0" xfId="1" applyNumberFormat="1" applyFont="1" applyFill="1" applyAlignment="1">
      <alignment horizontal="center"/>
    </xf>
    <xf numFmtId="10" fontId="23" fillId="2" borderId="59" xfId="1" applyNumberFormat="1" applyFont="1" applyFill="1" applyBorder="1" applyAlignment="1">
      <alignment horizontal="center"/>
    </xf>
    <xf numFmtId="2" fontId="23" fillId="3" borderId="36" xfId="1" applyNumberFormat="1" applyFont="1" applyFill="1" applyBorder="1" applyProtection="1">
      <protection locked="0"/>
    </xf>
    <xf numFmtId="10" fontId="23" fillId="2" borderId="36" xfId="1" applyNumberFormat="1" applyFont="1" applyFill="1" applyBorder="1" applyAlignment="1">
      <alignment horizontal="center"/>
    </xf>
    <xf numFmtId="170" fontId="26" fillId="2" borderId="0" xfId="1" applyNumberFormat="1" applyFont="1" applyFill="1" applyAlignment="1">
      <alignment horizontal="center"/>
    </xf>
    <xf numFmtId="10" fontId="26" fillId="2" borderId="0" xfId="1" applyNumberFormat="1" applyFont="1" applyFill="1" applyAlignment="1">
      <alignment horizontal="center"/>
    </xf>
    <xf numFmtId="0" fontId="23" fillId="2" borderId="58" xfId="1" applyFont="1" applyFill="1" applyBorder="1" applyAlignment="1">
      <alignment horizontal="right" vertical="center"/>
    </xf>
    <xf numFmtId="170" fontId="23" fillId="2" borderId="58" xfId="1" applyNumberFormat="1" applyFont="1" applyFill="1" applyBorder="1" applyAlignment="1">
      <alignment horizontal="center" vertical="center"/>
    </xf>
    <xf numFmtId="170" fontId="23" fillId="2" borderId="0" xfId="1" applyNumberFormat="1" applyFont="1" applyFill="1" applyAlignment="1">
      <alignment horizontal="center"/>
    </xf>
    <xf numFmtId="164" fontId="29" fillId="2" borderId="58" xfId="1" applyNumberFormat="1" applyFont="1" applyFill="1" applyBorder="1" applyAlignment="1">
      <alignment horizontal="center" vertical="center"/>
    </xf>
    <xf numFmtId="2" fontId="31" fillId="2" borderId="0" xfId="1" applyNumberFormat="1" applyFont="1" applyFill="1" applyAlignment="1">
      <alignment horizontal="right"/>
    </xf>
    <xf numFmtId="2" fontId="29" fillId="2" borderId="0" xfId="1" applyNumberFormat="1" applyFont="1" applyFill="1"/>
    <xf numFmtId="2" fontId="31" fillId="2" borderId="0" xfId="1" applyNumberFormat="1" applyFont="1" applyFill="1"/>
    <xf numFmtId="0" fontId="29" fillId="2" borderId="58" xfId="1" applyFont="1" applyFill="1" applyBorder="1" applyAlignment="1">
      <alignment horizontal="center" vertical="center"/>
    </xf>
    <xf numFmtId="10" fontId="26" fillId="2" borderId="0" xfId="1" applyNumberFormat="1" applyFont="1" applyFill="1"/>
    <xf numFmtId="165" fontId="29" fillId="2" borderId="32" xfId="1" applyNumberFormat="1" applyFont="1" applyFill="1" applyBorder="1" applyAlignment="1">
      <alignment horizontal="center"/>
    </xf>
    <xf numFmtId="2" fontId="29" fillId="2" borderId="58" xfId="1" applyNumberFormat="1" applyFont="1" applyFill="1" applyBorder="1" applyAlignment="1">
      <alignment horizontal="center" vertical="center"/>
    </xf>
    <xf numFmtId="165" fontId="29" fillId="2" borderId="34" xfId="1" applyNumberFormat="1" applyFont="1" applyFill="1" applyBorder="1" applyAlignment="1">
      <alignment horizontal="center"/>
    </xf>
    <xf numFmtId="0" fontId="23" fillId="2" borderId="9" xfId="1" applyFont="1" applyFill="1" applyBorder="1"/>
    <xf numFmtId="10" fontId="23" fillId="2" borderId="9" xfId="1" applyNumberFormat="1" applyFont="1" applyFill="1" applyBorder="1"/>
    <xf numFmtId="0" fontId="29" fillId="2" borderId="10" xfId="1" applyFont="1" applyFill="1" applyBorder="1"/>
    <xf numFmtId="0" fontId="29" fillId="2" borderId="1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23" fillId="2" borderId="7" xfId="1" applyFont="1" applyFill="1" applyBorder="1"/>
    <xf numFmtId="0" fontId="29" fillId="2" borderId="11" xfId="1" applyFont="1" applyFill="1" applyBorder="1"/>
    <xf numFmtId="0" fontId="29" fillId="2" borderId="0" xfId="1" applyFont="1" applyFill="1"/>
    <xf numFmtId="0" fontId="23" fillId="2" borderId="11" xfId="1" applyFont="1" applyFill="1" applyBorder="1"/>
    <xf numFmtId="0" fontId="1" fillId="2" borderId="10" xfId="0" applyFont="1" applyFill="1" applyBorder="1" applyAlignment="1">
      <alignment horizontal="center"/>
    </xf>
    <xf numFmtId="170" fontId="29" fillId="2" borderId="37" xfId="1" applyNumberFormat="1" applyFont="1" applyFill="1" applyBorder="1" applyAlignment="1">
      <alignment horizontal="center" vertical="center"/>
    </xf>
    <xf numFmtId="170" fontId="29" fillId="2" borderId="36" xfId="1" applyNumberFormat="1" applyFont="1" applyFill="1" applyBorder="1" applyAlignment="1">
      <alignment horizontal="center" vertical="center"/>
    </xf>
    <xf numFmtId="0" fontId="28" fillId="2" borderId="53" xfId="1" applyFont="1" applyFill="1" applyBorder="1" applyAlignment="1">
      <alignment horizontal="center" wrapText="1"/>
    </xf>
    <xf numFmtId="0" fontId="28" fillId="2" borderId="54" xfId="1" applyFont="1" applyFill="1" applyBorder="1" applyAlignment="1">
      <alignment horizontal="center" wrapText="1"/>
    </xf>
    <xf numFmtId="0" fontId="28" fillId="2" borderId="55" xfId="1" applyFont="1" applyFill="1" applyBorder="1" applyAlignment="1">
      <alignment horizontal="center" wrapText="1"/>
    </xf>
    <xf numFmtId="0" fontId="22" fillId="2" borderId="0" xfId="1" applyFont="1" applyFill="1" applyAlignment="1">
      <alignment horizontal="center"/>
    </xf>
    <xf numFmtId="0" fontId="29" fillId="2" borderId="0" xfId="1" applyFont="1" applyFill="1" applyAlignment="1">
      <alignment horizontal="right"/>
    </xf>
    <xf numFmtId="164" fontId="27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3" borderId="0" xfId="1" applyFont="1" applyFill="1" applyAlignment="1" applyProtection="1">
      <alignment horizontal="left"/>
      <protection locked="0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4" fillId="2" borderId="53" xfId="1" applyFont="1" applyFill="1" applyBorder="1" applyAlignment="1">
      <alignment horizontal="center"/>
    </xf>
    <xf numFmtId="0" fontId="14" fillId="2" borderId="54" xfId="1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8" fillId="3" borderId="0" xfId="1" applyFont="1" applyFill="1" applyAlignment="1" applyProtection="1">
      <alignment horizontal="left"/>
      <protection locked="0"/>
    </xf>
    <xf numFmtId="0" fontId="14" fillId="2" borderId="53" xfId="1" applyFont="1" applyFill="1" applyBorder="1" applyAlignment="1">
      <alignment horizontal="left" vertical="center" wrapText="1"/>
    </xf>
    <xf numFmtId="0" fontId="14" fillId="2" borderId="54" xfId="1" applyFont="1" applyFill="1" applyBorder="1" applyAlignment="1">
      <alignment horizontal="left" vertical="center" wrapText="1"/>
    </xf>
    <xf numFmtId="0" fontId="14" fillId="2" borderId="55" xfId="1" applyFont="1" applyFill="1" applyBorder="1" applyAlignment="1">
      <alignment horizontal="left" vertical="center" wrapText="1"/>
    </xf>
    <xf numFmtId="0" fontId="16" fillId="2" borderId="4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16" fillId="2" borderId="56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6" xfId="1" applyFont="1" applyFill="1" applyBorder="1" applyAlignment="1">
      <alignment horizontal="left" vertical="center" wrapText="1"/>
    </xf>
    <xf numFmtId="0" fontId="14" fillId="2" borderId="38" xfId="1" applyFont="1" applyFill="1" applyBorder="1" applyAlignment="1">
      <alignment horizontal="left" vertical="center" wrapText="1"/>
    </xf>
    <xf numFmtId="0" fontId="14" fillId="2" borderId="43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4" fillId="2" borderId="53" xfId="1" applyFont="1" applyFill="1" applyBorder="1" applyAlignment="1">
      <alignment horizontal="justify" vertical="center" wrapText="1"/>
    </xf>
    <xf numFmtId="0" fontId="14" fillId="2" borderId="54" xfId="1" applyFont="1" applyFill="1" applyBorder="1" applyAlignment="1">
      <alignment horizontal="justify" vertical="center" wrapText="1"/>
    </xf>
    <xf numFmtId="0" fontId="14" fillId="2" borderId="55" xfId="1" applyFont="1" applyFill="1" applyBorder="1" applyAlignment="1">
      <alignment horizontal="justify" vertical="center" wrapText="1"/>
    </xf>
  </cellXfs>
  <cellStyles count="2">
    <cellStyle name="Normal" xfId="0" builtinId="0"/>
    <cellStyle name="Normal 2" xfId="1"/>
  </cellStyles>
  <dxfs count="2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D20151044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Ethinyl "/>
      <sheetName val="Uniformity"/>
      <sheetName val="Levonorgestrel "/>
      <sheetName val="Ethinyl etradiol 1"/>
      <sheetName val="Sheet1"/>
    </sheetNames>
    <sheetDataSet>
      <sheetData sheetId="0"/>
      <sheetData sheetId="1"/>
      <sheetData sheetId="2">
        <row r="46">
          <cell r="C46">
            <v>69.606999999999999</v>
          </cell>
        </row>
      </sheetData>
      <sheetData sheetId="3">
        <row r="22">
          <cell r="B22" t="str">
            <v>30th March 2016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B71" sqref="B71"/>
    </sheetView>
  </sheetViews>
  <sheetFormatPr defaultRowHeight="15" x14ac:dyDescent="0.3"/>
  <cols>
    <col min="1" max="1" width="15.5703125" style="217" customWidth="1"/>
    <col min="2" max="2" width="18.42578125" style="217" customWidth="1"/>
    <col min="3" max="3" width="14.28515625" style="217" customWidth="1"/>
    <col min="4" max="4" width="15" style="217" customWidth="1"/>
    <col min="5" max="5" width="9.140625" style="217" customWidth="1"/>
    <col min="6" max="6" width="27.85546875" style="217" customWidth="1"/>
    <col min="7" max="7" width="12.28515625" style="217" customWidth="1"/>
    <col min="8" max="8" width="9.140625" style="217" customWidth="1"/>
    <col min="9" max="16384" width="9.140625" style="56"/>
  </cols>
  <sheetData>
    <row r="10" spans="1:7" ht="13.5" customHeight="1" thickBot="1" x14ac:dyDescent="0.35"/>
    <row r="11" spans="1:7" ht="13.5" customHeight="1" thickBot="1" x14ac:dyDescent="0.35">
      <c r="A11" s="260" t="s">
        <v>32</v>
      </c>
      <c r="B11" s="261"/>
      <c r="C11" s="261"/>
      <c r="D11" s="261"/>
      <c r="E11" s="261"/>
      <c r="F11" s="262"/>
      <c r="G11" s="218"/>
    </row>
    <row r="12" spans="1:7" ht="16.5" customHeight="1" x14ac:dyDescent="0.3">
      <c r="A12" s="263" t="s">
        <v>118</v>
      </c>
      <c r="B12" s="263"/>
      <c r="C12" s="263"/>
      <c r="D12" s="263"/>
      <c r="E12" s="263"/>
      <c r="F12" s="263"/>
      <c r="G12" s="123"/>
    </row>
    <row r="14" spans="1:7" ht="16.5" customHeight="1" x14ac:dyDescent="0.3">
      <c r="A14" s="264" t="s">
        <v>34</v>
      </c>
      <c r="B14" s="264"/>
      <c r="C14" s="124" t="s">
        <v>119</v>
      </c>
    </row>
    <row r="15" spans="1:7" ht="16.5" customHeight="1" x14ac:dyDescent="0.3">
      <c r="A15" s="264" t="s">
        <v>35</v>
      </c>
      <c r="B15" s="264"/>
      <c r="C15" s="124" t="s">
        <v>120</v>
      </c>
    </row>
    <row r="16" spans="1:7" ht="16.5" customHeight="1" x14ac:dyDescent="0.3">
      <c r="A16" s="264" t="s">
        <v>36</v>
      </c>
      <c r="B16" s="264"/>
      <c r="C16" s="124" t="s">
        <v>121</v>
      </c>
    </row>
    <row r="17" spans="1:5" ht="16.5" customHeight="1" x14ac:dyDescent="0.3">
      <c r="A17" s="264" t="s">
        <v>37</v>
      </c>
      <c r="B17" s="264"/>
      <c r="C17" s="124" t="s">
        <v>122</v>
      </c>
    </row>
    <row r="18" spans="1:5" ht="16.5" customHeight="1" x14ac:dyDescent="0.3">
      <c r="A18" s="264" t="s">
        <v>38</v>
      </c>
      <c r="B18" s="264"/>
      <c r="C18" s="219" t="s">
        <v>123</v>
      </c>
    </row>
    <row r="19" spans="1:5" ht="16.5" customHeight="1" x14ac:dyDescent="0.3">
      <c r="A19" s="264" t="s">
        <v>39</v>
      </c>
      <c r="B19" s="264"/>
      <c r="C19" s="219" t="e">
        <f>#REF!</f>
        <v>#REF!</v>
      </c>
    </row>
    <row r="20" spans="1:5" ht="16.5" customHeight="1" x14ac:dyDescent="0.3">
      <c r="A20" s="220"/>
      <c r="B20" s="220"/>
      <c r="C20" s="221"/>
    </row>
    <row r="21" spans="1:5" ht="16.5" customHeight="1" x14ac:dyDescent="0.3">
      <c r="A21" s="263" t="s">
        <v>1</v>
      </c>
      <c r="B21" s="263"/>
      <c r="C21" s="222" t="s">
        <v>124</v>
      </c>
      <c r="D21" s="223"/>
    </row>
    <row r="22" spans="1:5" ht="15.75" customHeight="1" thickBot="1" x14ac:dyDescent="0.35">
      <c r="A22" s="265"/>
      <c r="B22" s="265"/>
      <c r="C22" s="224"/>
      <c r="D22" s="265"/>
      <c r="E22" s="265"/>
    </row>
    <row r="23" spans="1:5" ht="33.75" customHeight="1" thickBot="1" x14ac:dyDescent="0.35">
      <c r="C23" s="225" t="s">
        <v>125</v>
      </c>
      <c r="D23" s="226" t="s">
        <v>126</v>
      </c>
      <c r="E23" s="227"/>
    </row>
    <row r="24" spans="1:5" ht="15.75" customHeight="1" x14ac:dyDescent="0.3">
      <c r="C24" s="228">
        <v>69.819999999999993</v>
      </c>
      <c r="D24" s="229">
        <f t="shared" ref="D24:D43" si="0">(C24-$C$46)/$C$46</f>
        <v>3.0600370652376033E-3</v>
      </c>
      <c r="E24" s="230"/>
    </row>
    <row r="25" spans="1:5" ht="15.75" customHeight="1" x14ac:dyDescent="0.3">
      <c r="C25" s="228">
        <v>69.849999999999994</v>
      </c>
      <c r="D25" s="231">
        <f t="shared" si="0"/>
        <v>3.4910282011865906E-3</v>
      </c>
      <c r="E25" s="230"/>
    </row>
    <row r="26" spans="1:5" ht="15.75" customHeight="1" x14ac:dyDescent="0.3">
      <c r="C26" s="228">
        <v>70.7</v>
      </c>
      <c r="D26" s="231">
        <f t="shared" si="0"/>
        <v>1.5702443719740881E-2</v>
      </c>
      <c r="E26" s="230"/>
    </row>
    <row r="27" spans="1:5" ht="15.75" customHeight="1" x14ac:dyDescent="0.3">
      <c r="C27" s="228">
        <v>67.790000000000006</v>
      </c>
      <c r="D27" s="231">
        <f t="shared" si="0"/>
        <v>-2.6103696467309222E-2</v>
      </c>
      <c r="E27" s="230"/>
    </row>
    <row r="28" spans="1:5" ht="15.75" customHeight="1" x14ac:dyDescent="0.3">
      <c r="C28" s="228">
        <v>69.73</v>
      </c>
      <c r="D28" s="231">
        <f t="shared" si="0"/>
        <v>1.7670636573908465E-3</v>
      </c>
      <c r="E28" s="230"/>
    </row>
    <row r="29" spans="1:5" ht="15.75" customHeight="1" x14ac:dyDescent="0.3">
      <c r="C29" s="228">
        <v>69.27</v>
      </c>
      <c r="D29" s="231">
        <f t="shared" si="0"/>
        <v>-4.8414670938268173E-3</v>
      </c>
      <c r="E29" s="230"/>
    </row>
    <row r="30" spans="1:5" ht="15.75" customHeight="1" x14ac:dyDescent="0.3">
      <c r="C30" s="228">
        <v>68.84</v>
      </c>
      <c r="D30" s="231">
        <f t="shared" si="0"/>
        <v>-1.1019006709095291E-2</v>
      </c>
      <c r="E30" s="230"/>
    </row>
    <row r="31" spans="1:5" ht="15.75" customHeight="1" x14ac:dyDescent="0.3">
      <c r="C31" s="228">
        <v>69.02</v>
      </c>
      <c r="D31" s="231">
        <f t="shared" si="0"/>
        <v>-8.4330598934015729E-3</v>
      </c>
      <c r="E31" s="230"/>
    </row>
    <row r="32" spans="1:5" ht="15.75" customHeight="1" x14ac:dyDescent="0.3">
      <c r="C32" s="228">
        <v>69.89</v>
      </c>
      <c r="D32" s="231">
        <f t="shared" si="0"/>
        <v>4.0656830491186411E-3</v>
      </c>
      <c r="E32" s="230"/>
    </row>
    <row r="33" spans="1:7" ht="15.75" customHeight="1" x14ac:dyDescent="0.3">
      <c r="C33" s="228">
        <v>70.760000000000005</v>
      </c>
      <c r="D33" s="231">
        <f t="shared" si="0"/>
        <v>1.6564425991638855E-2</v>
      </c>
      <c r="E33" s="230"/>
    </row>
    <row r="34" spans="1:7" ht="15.75" customHeight="1" x14ac:dyDescent="0.3">
      <c r="C34" s="228">
        <v>68.87</v>
      </c>
      <c r="D34" s="231">
        <f t="shared" si="0"/>
        <v>-1.0588015573146304E-2</v>
      </c>
      <c r="E34" s="230"/>
    </row>
    <row r="35" spans="1:7" ht="15.75" customHeight="1" x14ac:dyDescent="0.3">
      <c r="C35" s="228">
        <v>70.55</v>
      </c>
      <c r="D35" s="231">
        <f t="shared" si="0"/>
        <v>1.3547488039995946E-2</v>
      </c>
      <c r="E35" s="230"/>
    </row>
    <row r="36" spans="1:7" ht="15.75" customHeight="1" x14ac:dyDescent="0.3">
      <c r="C36" s="228">
        <v>70.349999999999994</v>
      </c>
      <c r="D36" s="231">
        <f t="shared" si="0"/>
        <v>1.0674213800336101E-2</v>
      </c>
      <c r="E36" s="230"/>
    </row>
    <row r="37" spans="1:7" ht="15.75" customHeight="1" x14ac:dyDescent="0.3">
      <c r="C37" s="228">
        <v>68.88</v>
      </c>
      <c r="D37" s="231">
        <f t="shared" si="0"/>
        <v>-1.0444351861163444E-2</v>
      </c>
      <c r="E37" s="230"/>
    </row>
    <row r="38" spans="1:7" ht="15.75" customHeight="1" x14ac:dyDescent="0.3">
      <c r="C38" s="228">
        <v>70.099999999999994</v>
      </c>
      <c r="D38" s="231">
        <f t="shared" si="0"/>
        <v>7.0826210007613457E-3</v>
      </c>
      <c r="E38" s="230"/>
    </row>
    <row r="39" spans="1:7" ht="15.75" customHeight="1" x14ac:dyDescent="0.3">
      <c r="C39" s="228">
        <v>69.41</v>
      </c>
      <c r="D39" s="231">
        <f t="shared" si="0"/>
        <v>-2.8301751260649466E-3</v>
      </c>
      <c r="E39" s="230"/>
    </row>
    <row r="40" spans="1:7" ht="15.75" customHeight="1" x14ac:dyDescent="0.3">
      <c r="C40" s="228">
        <v>69.73</v>
      </c>
      <c r="D40" s="231">
        <f t="shared" si="0"/>
        <v>1.7670636573908465E-3</v>
      </c>
      <c r="E40" s="230"/>
    </row>
    <row r="41" spans="1:7" ht="15.75" customHeight="1" x14ac:dyDescent="0.3">
      <c r="C41" s="228">
        <v>69.040000000000006</v>
      </c>
      <c r="D41" s="231">
        <f t="shared" si="0"/>
        <v>-8.1457324694354464E-3</v>
      </c>
      <c r="E41" s="230"/>
    </row>
    <row r="42" spans="1:7" ht="15.75" customHeight="1" x14ac:dyDescent="0.3">
      <c r="C42" s="228">
        <v>69.77</v>
      </c>
      <c r="D42" s="231">
        <f t="shared" si="0"/>
        <v>2.341718505322693E-3</v>
      </c>
      <c r="E42" s="230"/>
    </row>
    <row r="43" spans="1:7" ht="16.5" customHeight="1" thickBot="1" x14ac:dyDescent="0.35">
      <c r="C43" s="232">
        <v>69.77</v>
      </c>
      <c r="D43" s="233">
        <f t="shared" si="0"/>
        <v>2.341718505322693E-3</v>
      </c>
      <c r="E43" s="230"/>
    </row>
    <row r="44" spans="1:7" ht="16.5" customHeight="1" thickBot="1" x14ac:dyDescent="0.35">
      <c r="C44" s="234"/>
      <c r="D44" s="230"/>
      <c r="E44" s="235"/>
    </row>
    <row r="45" spans="1:7" ht="16.5" customHeight="1" thickBot="1" x14ac:dyDescent="0.35">
      <c r="B45" s="236" t="s">
        <v>127</v>
      </c>
      <c r="C45" s="237">
        <f>SUM(C24:C44)</f>
        <v>1392.1399999999999</v>
      </c>
      <c r="D45" s="238"/>
      <c r="E45" s="234"/>
    </row>
    <row r="46" spans="1:7" ht="17.25" customHeight="1" thickBot="1" x14ac:dyDescent="0.35">
      <c r="B46" s="236" t="s">
        <v>82</v>
      </c>
      <c r="C46" s="239">
        <f>AVERAGE(C24:C44)</f>
        <v>69.606999999999999</v>
      </c>
      <c r="E46" s="240"/>
    </row>
    <row r="47" spans="1:7" ht="17.25" customHeight="1" thickBot="1" x14ac:dyDescent="0.35">
      <c r="A47" s="124"/>
      <c r="B47" s="241"/>
      <c r="D47" s="242"/>
      <c r="E47" s="240"/>
    </row>
    <row r="48" spans="1:7" ht="33.75" customHeight="1" thickBot="1" x14ac:dyDescent="0.35">
      <c r="B48" s="243" t="s">
        <v>82</v>
      </c>
      <c r="C48" s="226" t="s">
        <v>128</v>
      </c>
      <c r="D48" s="244"/>
      <c r="G48" s="242"/>
    </row>
    <row r="49" spans="1:6" ht="17.25" customHeight="1" thickBot="1" x14ac:dyDescent="0.35">
      <c r="B49" s="258">
        <f>C46</f>
        <v>69.606999999999999</v>
      </c>
      <c r="C49" s="245">
        <f>-IF(C46&lt;=80,10%,IF(C46&lt;250,7.5%,5%))</f>
        <v>-0.1</v>
      </c>
      <c r="D49" s="246">
        <f>IF(C46&lt;=80,C46*0.9,IF(C46&lt;250,C46*0.925,C46*0.95))</f>
        <v>62.646300000000004</v>
      </c>
    </row>
    <row r="50" spans="1:6" ht="17.25" customHeight="1" thickBot="1" x14ac:dyDescent="0.35">
      <c r="B50" s="259"/>
      <c r="C50" s="247">
        <f>IF(C46&lt;=80, 10%, IF(C46&lt;250, 7.5%, 5%))</f>
        <v>0.1</v>
      </c>
      <c r="D50" s="246">
        <f>IF(C46&lt;=80, C46*1.1, IF(C46&lt;250, C46*1.075, C46*1.05))</f>
        <v>76.567700000000002</v>
      </c>
    </row>
    <row r="51" spans="1:6" ht="16.5" customHeight="1" thickBot="1" x14ac:dyDescent="0.35">
      <c r="A51" s="248"/>
      <c r="B51" s="154"/>
      <c r="C51" s="124"/>
      <c r="D51" s="249"/>
      <c r="E51" s="124"/>
      <c r="F51" s="223"/>
    </row>
    <row r="52" spans="1:6" ht="16.5" customHeight="1" x14ac:dyDescent="0.3">
      <c r="A52" s="124"/>
      <c r="B52" s="250" t="s">
        <v>25</v>
      </c>
      <c r="C52" s="250"/>
      <c r="D52" s="251" t="s">
        <v>26</v>
      </c>
      <c r="E52" s="252"/>
      <c r="F52" s="251" t="s">
        <v>27</v>
      </c>
    </row>
    <row r="53" spans="1:6" ht="34.5" customHeight="1" x14ac:dyDescent="0.3">
      <c r="A53" s="220" t="s">
        <v>28</v>
      </c>
      <c r="B53" s="253"/>
      <c r="C53" s="124"/>
      <c r="D53" s="253"/>
      <c r="E53" s="124"/>
      <c r="F53" s="253"/>
    </row>
    <row r="54" spans="1:6" ht="34.5" customHeight="1" x14ac:dyDescent="0.3">
      <c r="A54" s="220" t="s">
        <v>29</v>
      </c>
      <c r="B54" s="254"/>
      <c r="C54" s="255"/>
      <c r="D54" s="254"/>
      <c r="E54" s="124"/>
      <c r="F54" s="25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49" sqref="E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9.285156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6" t="s">
        <v>0</v>
      </c>
      <c r="B15" s="266"/>
      <c r="C15" s="266"/>
      <c r="D15" s="266"/>
      <c r="E15" s="2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Desogestrel!B18</f>
        <v>ENSKYCE TM TABLETS</v>
      </c>
      <c r="D17" s="9"/>
      <c r="E17" s="10"/>
    </row>
    <row r="18" spans="1:6" ht="16.5" customHeight="1" x14ac:dyDescent="0.3">
      <c r="A18" s="11" t="s">
        <v>4</v>
      </c>
      <c r="B18" s="8" t="str">
        <f>Desogestrel!B26</f>
        <v>Desogestrel</v>
      </c>
      <c r="C18" s="10"/>
      <c r="D18" s="10"/>
      <c r="E18" s="10"/>
    </row>
    <row r="19" spans="1:6" ht="16.5" customHeight="1" x14ac:dyDescent="0.3">
      <c r="A19" s="11" t="s">
        <v>6</v>
      </c>
      <c r="B19" s="12">
        <f>Desogestrel!B28</f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Desogestrel!D43</f>
        <v>15.34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Desogestrel!D46</f>
        <v>7.6469900000000002E-3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14397489</v>
      </c>
      <c r="C24" s="18">
        <v>6578.47</v>
      </c>
      <c r="D24" s="19">
        <v>1.1200000000000001</v>
      </c>
      <c r="E24" s="20">
        <v>9.84</v>
      </c>
    </row>
    <row r="25" spans="1:6" ht="16.5" customHeight="1" x14ac:dyDescent="0.3">
      <c r="A25" s="17">
        <v>2</v>
      </c>
      <c r="B25" s="18">
        <v>14424198</v>
      </c>
      <c r="C25" s="18">
        <v>6722.13</v>
      </c>
      <c r="D25" s="19">
        <v>1.1200000000000001</v>
      </c>
      <c r="E25" s="19">
        <v>9.81</v>
      </c>
    </row>
    <row r="26" spans="1:6" ht="16.5" customHeight="1" x14ac:dyDescent="0.3">
      <c r="A26" s="17">
        <v>3</v>
      </c>
      <c r="B26" s="18">
        <v>14413338</v>
      </c>
      <c r="C26" s="18">
        <v>6735.02</v>
      </c>
      <c r="D26" s="19">
        <v>1.1100000000000001</v>
      </c>
      <c r="E26" s="19">
        <v>9.82</v>
      </c>
    </row>
    <row r="27" spans="1:6" ht="16.5" customHeight="1" x14ac:dyDescent="0.3">
      <c r="A27" s="17">
        <v>4</v>
      </c>
      <c r="B27" s="18">
        <v>14468412</v>
      </c>
      <c r="C27" s="18">
        <v>6632.07</v>
      </c>
      <c r="D27" s="19">
        <v>1.1000000000000001</v>
      </c>
      <c r="E27" s="19">
        <v>9.8000000000000007</v>
      </c>
    </row>
    <row r="28" spans="1:6" ht="16.5" customHeight="1" x14ac:dyDescent="0.3">
      <c r="A28" s="17">
        <v>5</v>
      </c>
      <c r="B28" s="18">
        <v>14488046</v>
      </c>
      <c r="C28" s="18">
        <v>6570.45</v>
      </c>
      <c r="D28" s="19">
        <v>1.1100000000000001</v>
      </c>
      <c r="E28" s="19">
        <v>9.7799999999999994</v>
      </c>
    </row>
    <row r="29" spans="1:6" ht="16.5" customHeight="1" x14ac:dyDescent="0.3">
      <c r="A29" s="17">
        <v>6</v>
      </c>
      <c r="B29" s="21">
        <v>14452010</v>
      </c>
      <c r="C29" s="21">
        <v>6542.95</v>
      </c>
      <c r="D29" s="22">
        <v>1.1000000000000001</v>
      </c>
      <c r="E29" s="22">
        <v>9.8000000000000007</v>
      </c>
    </row>
    <row r="30" spans="1:6" ht="16.5" customHeight="1" x14ac:dyDescent="0.3">
      <c r="A30" s="23" t="s">
        <v>17</v>
      </c>
      <c r="B30" s="24">
        <f>AVERAGE(B24:B29)</f>
        <v>14440582.166666666</v>
      </c>
      <c r="C30" s="25">
        <f>AVERAGE(C24:C29)</f>
        <v>6630.1816666666664</v>
      </c>
      <c r="D30" s="26">
        <f>AVERAGE(D24:D29)</f>
        <v>1.1100000000000003</v>
      </c>
      <c r="E30" s="26">
        <f>AVERAGE(E24:E29)</f>
        <v>9.8083333333333318</v>
      </c>
    </row>
    <row r="31" spans="1:6" ht="16.5" customHeight="1" x14ac:dyDescent="0.3">
      <c r="A31" s="27" t="s">
        <v>18</v>
      </c>
      <c r="B31" s="28">
        <f>(STDEV(B24:B29)/B30)</f>
        <v>2.4039811522640767E-3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Desogestrel!B87</f>
        <v>Desogestrel</v>
      </c>
      <c r="C39" s="10"/>
      <c r="D39" s="10"/>
      <c r="E39" s="10"/>
    </row>
    <row r="40" spans="1:6" ht="16.5" customHeight="1" x14ac:dyDescent="0.3">
      <c r="A40" s="11" t="s">
        <v>6</v>
      </c>
      <c r="B40" s="12">
        <f>Desogestrel!B89</f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Desogestrel!D105</f>
        <v>15.22</v>
      </c>
      <c r="C41" s="10"/>
      <c r="D41" s="10"/>
      <c r="E41" s="10"/>
    </row>
    <row r="42" spans="1:6" ht="16.5" customHeight="1" x14ac:dyDescent="0.3">
      <c r="A42" s="7" t="s">
        <v>10</v>
      </c>
      <c r="B42" s="13">
        <f>Desogestrel!D108</f>
        <v>1.5174340000000003E-4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129222</v>
      </c>
      <c r="C45" s="18">
        <v>7311.27</v>
      </c>
      <c r="D45" s="19">
        <v>0.95</v>
      </c>
      <c r="E45" s="19">
        <v>4.05</v>
      </c>
    </row>
    <row r="46" spans="1:6" ht="16.5" customHeight="1" x14ac:dyDescent="0.3">
      <c r="A46" s="17">
        <v>2</v>
      </c>
      <c r="B46" s="18">
        <v>130095</v>
      </c>
      <c r="C46" s="18">
        <v>7241.53</v>
      </c>
      <c r="D46" s="19">
        <v>0.95</v>
      </c>
      <c r="E46" s="19">
        <v>4.05</v>
      </c>
    </row>
    <row r="47" spans="1:6" ht="16.5" customHeight="1" x14ac:dyDescent="0.3">
      <c r="A47" s="17">
        <v>3</v>
      </c>
      <c r="B47" s="18">
        <v>131825</v>
      </c>
      <c r="C47" s="18">
        <v>7283.75</v>
      </c>
      <c r="D47" s="19">
        <v>0.96</v>
      </c>
      <c r="E47" s="19">
        <v>4.05</v>
      </c>
    </row>
    <row r="48" spans="1:6" ht="16.5" customHeight="1" x14ac:dyDescent="0.3">
      <c r="A48" s="17">
        <v>4</v>
      </c>
      <c r="B48" s="18">
        <v>131220</v>
      </c>
      <c r="C48" s="18">
        <v>7263.75</v>
      </c>
      <c r="D48" s="19">
        <v>0.94</v>
      </c>
      <c r="E48" s="19">
        <v>4.0599999999999996</v>
      </c>
    </row>
    <row r="49" spans="1:7" ht="16.5" customHeight="1" x14ac:dyDescent="0.3">
      <c r="A49" s="17">
        <v>5</v>
      </c>
      <c r="B49" s="21">
        <v>131254</v>
      </c>
      <c r="C49" s="21">
        <v>7169.83</v>
      </c>
      <c r="D49" s="22">
        <v>0.95</v>
      </c>
      <c r="E49" s="22">
        <v>4.05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>
        <f>AVERAGE(B45:B50)</f>
        <v>130723.2</v>
      </c>
      <c r="C51" s="25">
        <f>AVERAGE(C45:C50)</f>
        <v>7254.0259999999998</v>
      </c>
      <c r="D51" s="26">
        <f>AVERAGE(D45:D50)</f>
        <v>0.95</v>
      </c>
      <c r="E51" s="26">
        <f>AVERAGE(E45:E50)</f>
        <v>4.0519999999999996</v>
      </c>
    </row>
    <row r="52" spans="1:7" ht="16.5" customHeight="1" x14ac:dyDescent="0.3">
      <c r="A52" s="27" t="s">
        <v>18</v>
      </c>
      <c r="B52" s="28">
        <f>(STDEV(B45:B50)/B51)</f>
        <v>8.0146972912690968E-3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7" t="s">
        <v>25</v>
      </c>
      <c r="C59" s="267"/>
      <c r="E59" s="45" t="s">
        <v>26</v>
      </c>
      <c r="F59" s="46"/>
      <c r="G59" s="45" t="s">
        <v>27</v>
      </c>
    </row>
    <row r="60" spans="1:7" ht="31.5" customHeight="1" x14ac:dyDescent="0.3">
      <c r="A60" s="47" t="s">
        <v>28</v>
      </c>
      <c r="B60" s="48"/>
      <c r="C60" s="48" t="s">
        <v>133</v>
      </c>
      <c r="E60" s="48"/>
      <c r="F60" s="2"/>
      <c r="G60" s="49"/>
    </row>
    <row r="61" spans="1:7" ht="32.2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8.1406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66" t="s">
        <v>0</v>
      </c>
      <c r="B15" s="266"/>
      <c r="C15" s="266"/>
      <c r="D15" s="266"/>
      <c r="E15" s="266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tr">
        <f>Desogestrel!B18</f>
        <v>ENSKYCE TM TABLETS</v>
      </c>
      <c r="D17" s="9"/>
      <c r="E17" s="36"/>
    </row>
    <row r="18" spans="1:5" ht="16.5" customHeight="1" x14ac:dyDescent="0.3">
      <c r="A18" s="11" t="s">
        <v>4</v>
      </c>
      <c r="B18" s="8" t="str">
        <f>'Ethinyl estradiol 2'!B26:C26</f>
        <v>Ethinyl estradiol</v>
      </c>
      <c r="C18" s="36"/>
      <c r="D18" s="36"/>
      <c r="E18" s="36"/>
    </row>
    <row r="19" spans="1:5" ht="16.5" customHeight="1" x14ac:dyDescent="0.3">
      <c r="A19" s="11" t="s">
        <v>6</v>
      </c>
      <c r="B19" s="12">
        <f>'Ethinyl estradiol 2'!B28</f>
        <v>99.8</v>
      </c>
      <c r="C19" s="36"/>
      <c r="D19" s="36"/>
      <c r="E19" s="36"/>
    </row>
    <row r="20" spans="1:5" ht="16.5" customHeight="1" x14ac:dyDescent="0.3">
      <c r="A20" s="8" t="s">
        <v>8</v>
      </c>
      <c r="B20" s="12">
        <f>'Ethinyl estradiol 2'!D43</f>
        <v>14.25</v>
      </c>
      <c r="C20" s="36"/>
      <c r="D20" s="36"/>
      <c r="E20" s="36"/>
    </row>
    <row r="21" spans="1:5" ht="16.5" customHeight="1" x14ac:dyDescent="0.3">
      <c r="A21" s="8" t="s">
        <v>10</v>
      </c>
      <c r="B21" s="13">
        <f>'Ethinyl estradiol 2'!D46</f>
        <v>5.6885999999999994E-3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1910596</v>
      </c>
      <c r="C24" s="18">
        <v>7360.96</v>
      </c>
      <c r="D24" s="19">
        <v>1.1100000000000001</v>
      </c>
      <c r="E24" s="20">
        <v>5.68</v>
      </c>
    </row>
    <row r="25" spans="1:5" ht="16.5" customHeight="1" x14ac:dyDescent="0.3">
      <c r="A25" s="17">
        <v>2</v>
      </c>
      <c r="B25" s="18">
        <v>1917635</v>
      </c>
      <c r="C25" s="18">
        <v>7503.62</v>
      </c>
      <c r="D25" s="19">
        <v>1.1200000000000001</v>
      </c>
      <c r="E25" s="19">
        <v>5.68</v>
      </c>
    </row>
    <row r="26" spans="1:5" ht="16.5" customHeight="1" x14ac:dyDescent="0.3">
      <c r="A26" s="17">
        <v>3</v>
      </c>
      <c r="B26" s="18">
        <v>1905855</v>
      </c>
      <c r="C26" s="18">
        <v>7537.88</v>
      </c>
      <c r="D26" s="19">
        <v>1.1499999999999999</v>
      </c>
      <c r="E26" s="19">
        <v>5.68</v>
      </c>
    </row>
    <row r="27" spans="1:5" ht="16.5" customHeight="1" x14ac:dyDescent="0.3">
      <c r="A27" s="17">
        <v>4</v>
      </c>
      <c r="B27" s="18">
        <v>1909379</v>
      </c>
      <c r="C27" s="18">
        <v>7651.73</v>
      </c>
      <c r="D27" s="19">
        <v>1.1499999999999999</v>
      </c>
      <c r="E27" s="19">
        <v>5.68</v>
      </c>
    </row>
    <row r="28" spans="1:5" ht="16.5" customHeight="1" x14ac:dyDescent="0.3">
      <c r="A28" s="17">
        <v>5</v>
      </c>
      <c r="B28" s="18">
        <v>1906704</v>
      </c>
      <c r="C28" s="18">
        <v>7607.35</v>
      </c>
      <c r="D28" s="19">
        <v>1.1599999999999999</v>
      </c>
      <c r="E28" s="19">
        <v>5.67</v>
      </c>
    </row>
    <row r="29" spans="1:5" ht="16.5" customHeight="1" x14ac:dyDescent="0.3">
      <c r="A29" s="17">
        <v>6</v>
      </c>
      <c r="B29" s="21">
        <v>1913339</v>
      </c>
      <c r="C29" s="21">
        <v>7731.9</v>
      </c>
      <c r="D29" s="22">
        <v>1.1499999999999999</v>
      </c>
      <c r="E29" s="22">
        <v>5.68</v>
      </c>
    </row>
    <row r="30" spans="1:5" ht="16.5" customHeight="1" x14ac:dyDescent="0.3">
      <c r="A30" s="23" t="s">
        <v>17</v>
      </c>
      <c r="B30" s="24">
        <f>AVERAGE(B24:B29)</f>
        <v>1910584.6666666667</v>
      </c>
      <c r="C30" s="25">
        <f>AVERAGE(C24:C29)</f>
        <v>7565.5733333333337</v>
      </c>
      <c r="D30" s="26">
        <f>AVERAGE(D24:D29)</f>
        <v>1.1399999999999999</v>
      </c>
      <c r="E30" s="26">
        <f>AVERAGE(E24:E29)</f>
        <v>5.6783333333333337</v>
      </c>
    </row>
    <row r="31" spans="1:5" ht="16.5" customHeight="1" x14ac:dyDescent="0.3">
      <c r="A31" s="27" t="s">
        <v>18</v>
      </c>
      <c r="B31" s="28">
        <f>(STDEV(B24:B29)/B30)</f>
        <v>2.2955327601605511E-3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19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21"/>
      <c r="C49" s="21"/>
      <c r="D49" s="22"/>
      <c r="E49" s="22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67" t="s">
        <v>25</v>
      </c>
      <c r="C59" s="267"/>
      <c r="E59" s="257" t="s">
        <v>26</v>
      </c>
      <c r="F59" s="46"/>
      <c r="G59" s="257" t="s">
        <v>27</v>
      </c>
    </row>
    <row r="60" spans="1:7" ht="26.25" customHeight="1" x14ac:dyDescent="0.3">
      <c r="A60" s="47" t="s">
        <v>28</v>
      </c>
      <c r="B60" s="49"/>
      <c r="C60" s="49" t="s">
        <v>133</v>
      </c>
      <c r="E60" s="49"/>
      <c r="G60" s="49"/>
    </row>
    <row r="61" spans="1:7" ht="32.2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topLeftCell="A105" zoomScale="60" zoomScaleNormal="60" workbookViewId="0">
      <selection activeCell="D122" sqref="D122"/>
    </sheetView>
  </sheetViews>
  <sheetFormatPr defaultRowHeight="12.75" x14ac:dyDescent="0.2"/>
  <cols>
    <col min="1" max="1" width="54.85546875" style="56" customWidth="1"/>
    <col min="2" max="2" width="39.42578125" style="56" customWidth="1"/>
    <col min="3" max="3" width="42.5703125" style="56" customWidth="1"/>
    <col min="4" max="4" width="27.42578125" style="56" customWidth="1"/>
    <col min="5" max="5" width="28.28515625" style="56" customWidth="1"/>
    <col min="6" max="6" width="27.42578125" style="56" customWidth="1"/>
    <col min="7" max="7" width="26" style="56" customWidth="1"/>
    <col min="8" max="8" width="31.7109375" style="56" customWidth="1"/>
    <col min="9" max="16384" width="9.140625" style="56"/>
  </cols>
  <sheetData>
    <row r="1" spans="1:7" x14ac:dyDescent="0.2">
      <c r="A1" s="269" t="s">
        <v>30</v>
      </c>
      <c r="B1" s="269"/>
      <c r="C1" s="269"/>
      <c r="D1" s="269"/>
      <c r="E1" s="269"/>
      <c r="F1" s="269"/>
      <c r="G1" s="269"/>
    </row>
    <row r="2" spans="1:7" x14ac:dyDescent="0.2">
      <c r="A2" s="269"/>
      <c r="B2" s="269"/>
      <c r="C2" s="269"/>
      <c r="D2" s="269"/>
      <c r="E2" s="269"/>
      <c r="F2" s="269"/>
      <c r="G2" s="269"/>
    </row>
    <row r="3" spans="1:7" x14ac:dyDescent="0.2">
      <c r="A3" s="269"/>
      <c r="B3" s="269"/>
      <c r="C3" s="269"/>
      <c r="D3" s="269"/>
      <c r="E3" s="269"/>
      <c r="F3" s="269"/>
      <c r="G3" s="269"/>
    </row>
    <row r="4" spans="1:7" x14ac:dyDescent="0.2">
      <c r="A4" s="269"/>
      <c r="B4" s="269"/>
      <c r="C4" s="269"/>
      <c r="D4" s="269"/>
      <c r="E4" s="269"/>
      <c r="F4" s="269"/>
      <c r="G4" s="269"/>
    </row>
    <row r="5" spans="1:7" x14ac:dyDescent="0.2">
      <c r="A5" s="269"/>
      <c r="B5" s="269"/>
      <c r="C5" s="269"/>
      <c r="D5" s="269"/>
      <c r="E5" s="269"/>
      <c r="F5" s="269"/>
      <c r="G5" s="269"/>
    </row>
    <row r="6" spans="1:7" x14ac:dyDescent="0.2">
      <c r="A6" s="269"/>
      <c r="B6" s="269"/>
      <c r="C6" s="269"/>
      <c r="D6" s="269"/>
      <c r="E6" s="269"/>
      <c r="F6" s="269"/>
      <c r="G6" s="269"/>
    </row>
    <row r="7" spans="1:7" x14ac:dyDescent="0.2">
      <c r="A7" s="269"/>
      <c r="B7" s="269"/>
      <c r="C7" s="269"/>
      <c r="D7" s="269"/>
      <c r="E7" s="269"/>
      <c r="F7" s="269"/>
      <c r="G7" s="269"/>
    </row>
    <row r="8" spans="1:7" x14ac:dyDescent="0.2">
      <c r="A8" s="270" t="s">
        <v>31</v>
      </c>
      <c r="B8" s="270"/>
      <c r="C8" s="270"/>
      <c r="D8" s="270"/>
      <c r="E8" s="270"/>
      <c r="F8" s="270"/>
      <c r="G8" s="270"/>
    </row>
    <row r="9" spans="1:7" x14ac:dyDescent="0.2">
      <c r="A9" s="270"/>
      <c r="B9" s="270"/>
      <c r="C9" s="270"/>
      <c r="D9" s="270"/>
      <c r="E9" s="270"/>
      <c r="F9" s="270"/>
      <c r="G9" s="270"/>
    </row>
    <row r="10" spans="1:7" x14ac:dyDescent="0.2">
      <c r="A10" s="270"/>
      <c r="B10" s="270"/>
      <c r="C10" s="270"/>
      <c r="D10" s="270"/>
      <c r="E10" s="270"/>
      <c r="F10" s="270"/>
      <c r="G10" s="270"/>
    </row>
    <row r="11" spans="1:7" x14ac:dyDescent="0.2">
      <c r="A11" s="270"/>
      <c r="B11" s="270"/>
      <c r="C11" s="270"/>
      <c r="D11" s="270"/>
      <c r="E11" s="270"/>
      <c r="F11" s="270"/>
      <c r="G11" s="270"/>
    </row>
    <row r="12" spans="1:7" x14ac:dyDescent="0.2">
      <c r="A12" s="270"/>
      <c r="B12" s="270"/>
      <c r="C12" s="270"/>
      <c r="D12" s="270"/>
      <c r="E12" s="270"/>
      <c r="F12" s="270"/>
      <c r="G12" s="270"/>
    </row>
    <row r="13" spans="1:7" x14ac:dyDescent="0.2">
      <c r="A13" s="270"/>
      <c r="B13" s="270"/>
      <c r="C13" s="270"/>
      <c r="D13" s="270"/>
      <c r="E13" s="270"/>
      <c r="F13" s="270"/>
      <c r="G13" s="270"/>
    </row>
    <row r="14" spans="1:7" x14ac:dyDescent="0.2">
      <c r="A14" s="270"/>
      <c r="B14" s="270"/>
      <c r="C14" s="270"/>
      <c r="D14" s="270"/>
      <c r="E14" s="270"/>
      <c r="F14" s="270"/>
      <c r="G14" s="270"/>
    </row>
    <row r="15" spans="1:7" ht="19.5" customHeight="1" thickBot="1" x14ac:dyDescent="0.35">
      <c r="A15" s="57"/>
      <c r="B15" s="57"/>
      <c r="C15" s="57"/>
      <c r="D15" s="57"/>
      <c r="E15" s="57"/>
      <c r="F15" s="57"/>
      <c r="G15" s="57"/>
    </row>
    <row r="16" spans="1:7" ht="19.5" customHeight="1" thickBot="1" x14ac:dyDescent="0.35">
      <c r="A16" s="271" t="s">
        <v>32</v>
      </c>
      <c r="B16" s="272"/>
      <c r="C16" s="272"/>
      <c r="D16" s="272"/>
      <c r="E16" s="272"/>
      <c r="F16" s="272"/>
      <c r="G16" s="272"/>
    </row>
    <row r="17" spans="1:7" ht="18.75" customHeight="1" x14ac:dyDescent="0.3">
      <c r="A17" s="58" t="s">
        <v>33</v>
      </c>
      <c r="B17" s="58"/>
      <c r="C17" s="57"/>
      <c r="D17" s="57"/>
      <c r="E17" s="57"/>
      <c r="F17" s="57"/>
      <c r="G17" s="57"/>
    </row>
    <row r="18" spans="1:7" ht="26.25" customHeight="1" x14ac:dyDescent="0.4">
      <c r="A18" s="59" t="s">
        <v>34</v>
      </c>
      <c r="B18" s="273" t="s">
        <v>5</v>
      </c>
      <c r="C18" s="273"/>
      <c r="D18" s="60"/>
      <c r="E18" s="60"/>
      <c r="F18" s="57"/>
      <c r="G18" s="57"/>
    </row>
    <row r="19" spans="1:7" ht="26.25" customHeight="1" x14ac:dyDescent="0.4">
      <c r="A19" s="59" t="s">
        <v>35</v>
      </c>
      <c r="B19" s="55" t="s">
        <v>7</v>
      </c>
      <c r="C19" s="57">
        <v>12</v>
      </c>
      <c r="E19" s="57"/>
      <c r="F19" s="57"/>
      <c r="G19" s="57"/>
    </row>
    <row r="20" spans="1:7" ht="26.25" customHeight="1" x14ac:dyDescent="0.4">
      <c r="A20" s="59" t="s">
        <v>36</v>
      </c>
      <c r="B20" s="274" t="s">
        <v>9</v>
      </c>
      <c r="C20" s="274"/>
      <c r="D20" s="57"/>
      <c r="E20" s="57"/>
      <c r="F20" s="57"/>
      <c r="G20" s="57"/>
    </row>
    <row r="21" spans="1:7" ht="26.25" customHeight="1" x14ac:dyDescent="0.4">
      <c r="A21" s="59" t="s">
        <v>37</v>
      </c>
      <c r="B21" s="52" t="s">
        <v>11</v>
      </c>
      <c r="C21" s="61"/>
      <c r="D21" s="62"/>
      <c r="E21" s="62"/>
      <c r="F21" s="62"/>
      <c r="G21" s="62"/>
    </row>
    <row r="22" spans="1:7" ht="26.25" customHeight="1" x14ac:dyDescent="0.4">
      <c r="A22" s="59" t="s">
        <v>38</v>
      </c>
      <c r="B22" s="63" t="str">
        <f>'[1]Levonorgestrel '!B22</f>
        <v>30th March 2016</v>
      </c>
      <c r="C22" s="64"/>
      <c r="D22" s="57"/>
      <c r="E22" s="57"/>
      <c r="F22" s="57"/>
      <c r="G22" s="57"/>
    </row>
    <row r="23" spans="1:7" ht="26.25" customHeight="1" x14ac:dyDescent="0.4">
      <c r="A23" s="59" t="s">
        <v>39</v>
      </c>
      <c r="B23" s="63" t="s">
        <v>132</v>
      </c>
      <c r="C23" s="64"/>
      <c r="D23" s="57"/>
      <c r="E23" s="57"/>
      <c r="F23" s="57"/>
      <c r="G23" s="57"/>
    </row>
    <row r="24" spans="1:7" ht="18.75" customHeight="1" x14ac:dyDescent="0.3">
      <c r="A24" s="59"/>
      <c r="B24" s="65"/>
      <c r="C24" s="57"/>
      <c r="D24" s="57"/>
      <c r="E24" s="57"/>
      <c r="F24" s="57"/>
      <c r="G24" s="57"/>
    </row>
    <row r="25" spans="1:7" ht="18.75" customHeight="1" x14ac:dyDescent="0.3">
      <c r="A25" s="66" t="s">
        <v>1</v>
      </c>
      <c r="B25" s="65"/>
      <c r="C25" s="57"/>
      <c r="D25" s="57"/>
      <c r="E25" s="57"/>
      <c r="F25" s="57"/>
      <c r="G25" s="57"/>
    </row>
    <row r="26" spans="1:7" ht="26.25" customHeight="1" x14ac:dyDescent="0.4">
      <c r="A26" s="67" t="s">
        <v>4</v>
      </c>
      <c r="B26" s="268" t="s">
        <v>129</v>
      </c>
      <c r="C26" s="268"/>
      <c r="D26" s="57"/>
      <c r="E26" s="57"/>
      <c r="F26" s="57"/>
      <c r="G26" s="57"/>
    </row>
    <row r="27" spans="1:7" ht="26.25" customHeight="1" x14ac:dyDescent="0.4">
      <c r="A27" s="68" t="s">
        <v>40</v>
      </c>
      <c r="B27" s="275" t="s">
        <v>131</v>
      </c>
      <c r="C27" s="275"/>
      <c r="D27" s="57"/>
      <c r="E27" s="57"/>
      <c r="F27" s="57"/>
      <c r="G27" s="57"/>
    </row>
    <row r="28" spans="1:7" ht="27" customHeight="1" thickBot="1" x14ac:dyDescent="0.45">
      <c r="A28" s="68" t="s">
        <v>6</v>
      </c>
      <c r="B28" s="69">
        <v>99.7</v>
      </c>
      <c r="C28" s="57"/>
      <c r="D28" s="57"/>
      <c r="E28" s="57"/>
      <c r="F28" s="57"/>
      <c r="G28" s="57"/>
    </row>
    <row r="29" spans="1:7" ht="27" customHeight="1" thickBot="1" x14ac:dyDescent="0.45">
      <c r="A29" s="68" t="s">
        <v>41</v>
      </c>
      <c r="B29" s="70">
        <v>0</v>
      </c>
      <c r="C29" s="276" t="s">
        <v>42</v>
      </c>
      <c r="D29" s="277"/>
      <c r="E29" s="277"/>
      <c r="F29" s="277"/>
      <c r="G29" s="278"/>
    </row>
    <row r="30" spans="1:7" ht="19.5" customHeight="1" thickBot="1" x14ac:dyDescent="0.35">
      <c r="A30" s="68" t="s">
        <v>43</v>
      </c>
      <c r="B30" s="71">
        <f>B28-B29</f>
        <v>99.7</v>
      </c>
      <c r="C30" s="72"/>
      <c r="D30" s="72"/>
      <c r="E30" s="72"/>
      <c r="F30" s="72"/>
      <c r="G30" s="72"/>
    </row>
    <row r="31" spans="1:7" ht="27" customHeight="1" thickBot="1" x14ac:dyDescent="0.45">
      <c r="A31" s="68" t="s">
        <v>44</v>
      </c>
      <c r="B31" s="73">
        <v>1</v>
      </c>
      <c r="C31" s="276" t="s">
        <v>45</v>
      </c>
      <c r="D31" s="277"/>
      <c r="E31" s="277"/>
      <c r="F31" s="277"/>
      <c r="G31" s="278"/>
    </row>
    <row r="32" spans="1:7" ht="27" customHeight="1" thickBot="1" x14ac:dyDescent="0.45">
      <c r="A32" s="68" t="s">
        <v>46</v>
      </c>
      <c r="B32" s="73">
        <v>1</v>
      </c>
      <c r="C32" s="276" t="s">
        <v>47</v>
      </c>
      <c r="D32" s="277"/>
      <c r="E32" s="277"/>
      <c r="F32" s="277"/>
      <c r="G32" s="278"/>
    </row>
    <row r="33" spans="1:7" ht="18.75" customHeight="1" x14ac:dyDescent="0.3">
      <c r="A33" s="68"/>
      <c r="B33" s="74"/>
      <c r="C33" s="75"/>
      <c r="D33" s="75"/>
      <c r="E33" s="75"/>
      <c r="F33" s="75"/>
      <c r="G33" s="75"/>
    </row>
    <row r="34" spans="1:7" ht="18.75" customHeight="1" x14ac:dyDescent="0.3">
      <c r="A34" s="68" t="s">
        <v>48</v>
      </c>
      <c r="B34" s="76">
        <f>B31/B32</f>
        <v>1</v>
      </c>
      <c r="C34" s="57" t="s">
        <v>49</v>
      </c>
      <c r="D34" s="57"/>
      <c r="E34" s="57"/>
      <c r="F34" s="57"/>
      <c r="G34" s="57"/>
    </row>
    <row r="35" spans="1:7" ht="19.5" customHeight="1" thickBot="1" x14ac:dyDescent="0.35">
      <c r="A35" s="68"/>
      <c r="B35" s="71"/>
      <c r="C35" s="77"/>
      <c r="D35" s="77"/>
      <c r="E35" s="77"/>
      <c r="F35" s="77"/>
      <c r="G35" s="57"/>
    </row>
    <row r="36" spans="1:7" ht="27" customHeight="1" thickBot="1" x14ac:dyDescent="0.45">
      <c r="A36" s="78" t="s">
        <v>50</v>
      </c>
      <c r="B36" s="79">
        <v>100</v>
      </c>
      <c r="C36" s="57"/>
      <c r="D36" s="279" t="s">
        <v>51</v>
      </c>
      <c r="E36" s="280"/>
      <c r="F36" s="279" t="s">
        <v>52</v>
      </c>
      <c r="G36" s="281"/>
    </row>
    <row r="37" spans="1:7" ht="26.25" customHeight="1" x14ac:dyDescent="0.4">
      <c r="A37" s="80" t="s">
        <v>99</v>
      </c>
      <c r="B37" s="81">
        <v>5</v>
      </c>
      <c r="C37" s="82" t="s">
        <v>53</v>
      </c>
      <c r="D37" s="83" t="s">
        <v>54</v>
      </c>
      <c r="E37" s="84" t="s">
        <v>55</v>
      </c>
      <c r="F37" s="83" t="s">
        <v>54</v>
      </c>
      <c r="G37" s="85" t="s">
        <v>55</v>
      </c>
    </row>
    <row r="38" spans="1:7" ht="26.25" customHeight="1" x14ac:dyDescent="0.4">
      <c r="A38" s="80" t="s">
        <v>100</v>
      </c>
      <c r="B38" s="81">
        <v>100</v>
      </c>
      <c r="C38" s="86">
        <v>1</v>
      </c>
      <c r="D38" s="53">
        <v>14518201</v>
      </c>
      <c r="E38" s="88">
        <f>IF(ISBLANK(D38),"-",$D$48/$D$45*D38)</f>
        <v>14239132.979119888</v>
      </c>
      <c r="F38" s="53">
        <v>15068871</v>
      </c>
      <c r="G38" s="89">
        <f>IF(ISBLANK(F38),"-",$D$48/$F$45*F38)</f>
        <v>14213994.019676587</v>
      </c>
    </row>
    <row r="39" spans="1:7" ht="26.25" customHeight="1" x14ac:dyDescent="0.4">
      <c r="A39" s="80" t="s">
        <v>101</v>
      </c>
      <c r="B39" s="81">
        <v>1</v>
      </c>
      <c r="C39" s="90">
        <v>2</v>
      </c>
      <c r="D39" s="54">
        <v>14579251</v>
      </c>
      <c r="E39" s="92">
        <f>IF(ISBLANK(D39),"-",$D$48/$D$45*D39)</f>
        <v>14299009.479546854</v>
      </c>
      <c r="F39" s="54">
        <v>15130467</v>
      </c>
      <c r="G39" s="93">
        <f>IF(ISBLANK(F39),"-",$D$48/$F$45*F39)</f>
        <v>14272095.597136239</v>
      </c>
    </row>
    <row r="40" spans="1:7" ht="26.25" customHeight="1" x14ac:dyDescent="0.4">
      <c r="A40" s="80" t="s">
        <v>102</v>
      </c>
      <c r="B40" s="81">
        <v>1</v>
      </c>
      <c r="C40" s="90">
        <v>3</v>
      </c>
      <c r="D40" s="54">
        <v>14552826</v>
      </c>
      <c r="E40" s="92">
        <f>IF(ISBLANK(D40),"-",$D$48/$D$45*D40)</f>
        <v>14273092.419370234</v>
      </c>
      <c r="F40" s="54">
        <v>15081688</v>
      </c>
      <c r="G40" s="93">
        <f>IF(ISBLANK(F40),"-",$D$48/$F$45*F40)</f>
        <v>14226083.89431618</v>
      </c>
    </row>
    <row r="41" spans="1:7" ht="26.25" customHeight="1" x14ac:dyDescent="0.4">
      <c r="A41" s="80" t="s">
        <v>103</v>
      </c>
      <c r="B41" s="81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</row>
    <row r="42" spans="1:7" ht="27" customHeight="1" thickBot="1" x14ac:dyDescent="0.45">
      <c r="A42" s="80" t="s">
        <v>104</v>
      </c>
      <c r="B42" s="81">
        <v>1</v>
      </c>
      <c r="C42" s="98" t="s">
        <v>56</v>
      </c>
      <c r="D42" s="99">
        <f>AVERAGE(D38:D41)</f>
        <v>14550092.666666666</v>
      </c>
      <c r="E42" s="100">
        <f>AVERAGE(E38:E41)</f>
        <v>14270411.626012325</v>
      </c>
      <c r="F42" s="99">
        <f>AVERAGE(F38:F41)</f>
        <v>15093675.333333334</v>
      </c>
      <c r="G42" s="101">
        <f>AVERAGE(G38:G41)</f>
        <v>14237391.170376336</v>
      </c>
    </row>
    <row r="43" spans="1:7" ht="26.25" customHeight="1" x14ac:dyDescent="0.4">
      <c r="A43" s="80" t="s">
        <v>105</v>
      </c>
      <c r="B43" s="81">
        <v>1</v>
      </c>
      <c r="C43" s="102" t="s">
        <v>57</v>
      </c>
      <c r="D43" s="103">
        <v>15.34</v>
      </c>
      <c r="E43" s="57"/>
      <c r="F43" s="103">
        <v>15.95</v>
      </c>
      <c r="G43" s="57"/>
    </row>
    <row r="44" spans="1:7" ht="26.25" customHeight="1" x14ac:dyDescent="0.4">
      <c r="A44" s="80" t="s">
        <v>106</v>
      </c>
      <c r="B44" s="81">
        <v>1</v>
      </c>
      <c r="C44" s="104" t="s">
        <v>58</v>
      </c>
      <c r="D44" s="105">
        <f>D43*$B$34</f>
        <v>15.34</v>
      </c>
      <c r="E44" s="106"/>
      <c r="F44" s="105">
        <f>F43*$B$34</f>
        <v>15.95</v>
      </c>
      <c r="G44" s="57"/>
    </row>
    <row r="45" spans="1:7" ht="19.5" customHeight="1" thickBot="1" x14ac:dyDescent="0.35">
      <c r="A45" s="80" t="s">
        <v>59</v>
      </c>
      <c r="B45" s="107">
        <f>(B44/B43)*(B42/B41)*(B40/B39)*(B38/B37)*B36</f>
        <v>2000</v>
      </c>
      <c r="C45" s="104" t="s">
        <v>60</v>
      </c>
      <c r="D45" s="108">
        <f>D44*$B$30/100</f>
        <v>15.293980000000001</v>
      </c>
      <c r="E45" s="109"/>
      <c r="F45" s="108">
        <f>F44*$B$30/100</f>
        <v>15.902149999999999</v>
      </c>
      <c r="G45" s="57"/>
    </row>
    <row r="46" spans="1:7" ht="19.5" customHeight="1" thickBot="1" x14ac:dyDescent="0.35">
      <c r="A46" s="282" t="s">
        <v>61</v>
      </c>
      <c r="B46" s="283"/>
      <c r="C46" s="104" t="s">
        <v>62</v>
      </c>
      <c r="D46" s="105">
        <f>D45/$B$45</f>
        <v>7.6469900000000002E-3</v>
      </c>
      <c r="E46" s="109"/>
      <c r="F46" s="110">
        <f>F45/$B$45</f>
        <v>7.9510750000000002E-3</v>
      </c>
      <c r="G46" s="57"/>
    </row>
    <row r="47" spans="1:7" ht="27" customHeight="1" thickBot="1" x14ac:dyDescent="0.45">
      <c r="A47" s="284"/>
      <c r="B47" s="285"/>
      <c r="C47" s="111" t="s">
        <v>63</v>
      </c>
      <c r="D47" s="112">
        <v>7.4999999999999997E-3</v>
      </c>
      <c r="E47" s="57"/>
      <c r="F47" s="113"/>
      <c r="G47" s="57"/>
    </row>
    <row r="48" spans="1:7" ht="18.75" customHeight="1" x14ac:dyDescent="0.3">
      <c r="A48" s="57"/>
      <c r="B48" s="57"/>
      <c r="C48" s="114" t="s">
        <v>64</v>
      </c>
      <c r="D48" s="108">
        <f>D47*$B$45</f>
        <v>15</v>
      </c>
      <c r="E48" s="57"/>
      <c r="F48" s="113"/>
      <c r="G48" s="57"/>
    </row>
    <row r="49" spans="1:7" ht="19.5" customHeight="1" thickBot="1" x14ac:dyDescent="0.35">
      <c r="A49" s="57"/>
      <c r="B49" s="57"/>
      <c r="C49" s="68" t="s">
        <v>65</v>
      </c>
      <c r="D49" s="115">
        <f>D48/B34</f>
        <v>15</v>
      </c>
      <c r="E49" s="57"/>
      <c r="F49" s="113"/>
      <c r="G49" s="57"/>
    </row>
    <row r="50" spans="1:7" ht="18.75" customHeight="1" x14ac:dyDescent="0.3">
      <c r="A50" s="57"/>
      <c r="B50" s="57"/>
      <c r="C50" s="78" t="s">
        <v>66</v>
      </c>
      <c r="D50" s="116">
        <f>AVERAGE(E38:E41,G38:G41)</f>
        <v>14253901.39819433</v>
      </c>
      <c r="E50" s="57"/>
      <c r="F50" s="117"/>
      <c r="G50" s="57"/>
    </row>
    <row r="51" spans="1:7" ht="18.75" customHeight="1" x14ac:dyDescent="0.3">
      <c r="A51" s="57"/>
      <c r="B51" s="57"/>
      <c r="C51" s="80" t="s">
        <v>67</v>
      </c>
      <c r="D51" s="118">
        <f>STDEV(E38:E41,G38:G41)/D50</f>
        <v>2.2881219502494383E-3</v>
      </c>
      <c r="E51" s="57"/>
      <c r="F51" s="117"/>
      <c r="G51" s="57"/>
    </row>
    <row r="52" spans="1:7" ht="19.5" customHeight="1" thickBot="1" x14ac:dyDescent="0.35">
      <c r="A52" s="57"/>
      <c r="B52" s="57"/>
      <c r="C52" s="119" t="s">
        <v>19</v>
      </c>
      <c r="D52" s="120">
        <f>COUNT(E38:E41,G38:G41)</f>
        <v>6</v>
      </c>
      <c r="E52" s="57"/>
      <c r="F52" s="117"/>
      <c r="G52" s="57"/>
    </row>
    <row r="53" spans="1:7" ht="18.75" customHeight="1" x14ac:dyDescent="0.3">
      <c r="A53" s="57"/>
      <c r="B53" s="57"/>
      <c r="C53" s="57"/>
      <c r="D53" s="57"/>
      <c r="E53" s="57"/>
      <c r="F53" s="57"/>
      <c r="G53" s="57"/>
    </row>
    <row r="54" spans="1:7" ht="18.75" customHeight="1" x14ac:dyDescent="0.3">
      <c r="A54" s="58" t="s">
        <v>1</v>
      </c>
      <c r="B54" s="121" t="s">
        <v>68</v>
      </c>
      <c r="C54" s="57"/>
      <c r="D54" s="57"/>
      <c r="E54" s="57"/>
      <c r="F54" s="57"/>
      <c r="G54" s="57"/>
    </row>
    <row r="55" spans="1:7" ht="18.75" customHeight="1" x14ac:dyDescent="0.3">
      <c r="A55" s="57" t="s">
        <v>69</v>
      </c>
      <c r="B55" s="122" t="str">
        <f>B21</f>
        <v>Each tablets contains:
Desogetrel 0.15 mg
Ethiylestradiol 0.03 mg</v>
      </c>
      <c r="C55" s="57"/>
      <c r="D55" s="57"/>
      <c r="E55" s="57"/>
      <c r="F55" s="57"/>
      <c r="G55" s="57"/>
    </row>
    <row r="56" spans="1:7" ht="26.25" customHeight="1" x14ac:dyDescent="0.4">
      <c r="A56" s="122" t="s">
        <v>107</v>
      </c>
      <c r="B56" s="69">
        <v>0.15</v>
      </c>
      <c r="C56" s="57" t="str">
        <f>B20</f>
        <v xml:space="preserve">Desogestral,
Ethnylestradiol </v>
      </c>
      <c r="D56" s="57"/>
      <c r="E56" s="57"/>
      <c r="F56" s="57"/>
      <c r="G56" s="57"/>
    </row>
    <row r="57" spans="1:7" ht="17.25" customHeight="1" thickBot="1" x14ac:dyDescent="0.35">
      <c r="A57" s="123" t="s">
        <v>108</v>
      </c>
      <c r="B57" s="123">
        <f>[1]Uniformity!C46</f>
        <v>69.606999999999999</v>
      </c>
      <c r="C57" s="123"/>
      <c r="D57" s="124"/>
      <c r="E57" s="124"/>
      <c r="F57" s="124"/>
      <c r="G57" s="124"/>
    </row>
    <row r="58" spans="1:7" ht="57.75" customHeight="1" x14ac:dyDescent="0.4">
      <c r="A58" s="78" t="s">
        <v>70</v>
      </c>
      <c r="B58" s="79">
        <v>20</v>
      </c>
      <c r="C58" s="125" t="s">
        <v>71</v>
      </c>
      <c r="D58" s="126" t="s">
        <v>72</v>
      </c>
      <c r="E58" s="127" t="s">
        <v>73</v>
      </c>
      <c r="F58" s="128" t="s">
        <v>74</v>
      </c>
      <c r="G58" s="129" t="s">
        <v>75</v>
      </c>
    </row>
    <row r="59" spans="1:7" ht="26.25" customHeight="1" x14ac:dyDescent="0.4">
      <c r="A59" s="80" t="s">
        <v>99</v>
      </c>
      <c r="B59" s="81">
        <v>1</v>
      </c>
      <c r="C59" s="130">
        <v>1</v>
      </c>
      <c r="D59" s="131">
        <v>13586951</v>
      </c>
      <c r="E59" s="132">
        <f t="shared" ref="E59:E68" si="0">IF(ISBLANK(D59),"-",D59/$D$50*$D$47*$B$67)</f>
        <v>0.14298139106379515</v>
      </c>
      <c r="F59" s="133">
        <f t="shared" ref="F59:F68" si="1">IF(ISBLANK(D59),"-",E59/$E$70*100)</f>
        <v>99.869831366605268</v>
      </c>
      <c r="G59" s="134">
        <f t="shared" ref="G59:G68" si="2">IF(ISBLANK(D59),"-",E59/$B$56*100)</f>
        <v>95.320927375863434</v>
      </c>
    </row>
    <row r="60" spans="1:7" ht="26.25" customHeight="1" x14ac:dyDescent="0.4">
      <c r="A60" s="80" t="s">
        <v>100</v>
      </c>
      <c r="B60" s="81">
        <v>1</v>
      </c>
      <c r="C60" s="135">
        <v>2</v>
      </c>
      <c r="D60" s="136">
        <v>13482760</v>
      </c>
      <c r="E60" s="137">
        <f t="shared" si="0"/>
        <v>0.14188494388323727</v>
      </c>
      <c r="F60" s="138">
        <f t="shared" si="1"/>
        <v>99.103983488010726</v>
      </c>
      <c r="G60" s="139">
        <f t="shared" si="2"/>
        <v>94.589962588824847</v>
      </c>
    </row>
    <row r="61" spans="1:7" ht="26.25" customHeight="1" x14ac:dyDescent="0.4">
      <c r="A61" s="80" t="s">
        <v>101</v>
      </c>
      <c r="B61" s="81">
        <v>1</v>
      </c>
      <c r="C61" s="135">
        <v>3</v>
      </c>
      <c r="D61" s="136">
        <v>13584733</v>
      </c>
      <c r="E61" s="137">
        <f t="shared" si="0"/>
        <v>0.14295805008572143</v>
      </c>
      <c r="F61" s="138">
        <f t="shared" si="1"/>
        <v>99.853528129332148</v>
      </c>
      <c r="G61" s="139">
        <f t="shared" si="2"/>
        <v>95.305366723814288</v>
      </c>
    </row>
    <row r="62" spans="1:7" ht="26.25" customHeight="1" x14ac:dyDescent="0.4">
      <c r="A62" s="80" t="s">
        <v>102</v>
      </c>
      <c r="B62" s="81">
        <v>1</v>
      </c>
      <c r="C62" s="135">
        <v>4</v>
      </c>
      <c r="D62" s="136">
        <v>13575683</v>
      </c>
      <c r="E62" s="137">
        <f t="shared" si="0"/>
        <v>0.1428628130020573</v>
      </c>
      <c r="F62" s="138">
        <f t="shared" si="1"/>
        <v>99.787006805021221</v>
      </c>
      <c r="G62" s="139">
        <f t="shared" si="2"/>
        <v>95.241875334704872</v>
      </c>
    </row>
    <row r="63" spans="1:7" ht="26.25" customHeight="1" x14ac:dyDescent="0.4">
      <c r="A63" s="80" t="s">
        <v>103</v>
      </c>
      <c r="B63" s="81">
        <v>1</v>
      </c>
      <c r="C63" s="135">
        <v>5</v>
      </c>
      <c r="D63" s="136">
        <v>13621844</v>
      </c>
      <c r="E63" s="137">
        <f t="shared" si="0"/>
        <v>0.14334858526935229</v>
      </c>
      <c r="F63" s="138">
        <f t="shared" si="1"/>
        <v>100.12630966154244</v>
      </c>
      <c r="G63" s="139">
        <f t="shared" si="2"/>
        <v>95.565723512901542</v>
      </c>
    </row>
    <row r="64" spans="1:7" ht="26.25" customHeight="1" x14ac:dyDescent="0.4">
      <c r="A64" s="80" t="s">
        <v>104</v>
      </c>
      <c r="B64" s="81">
        <v>1</v>
      </c>
      <c r="C64" s="135">
        <v>6</v>
      </c>
      <c r="D64" s="136">
        <v>13969367</v>
      </c>
      <c r="E64" s="137">
        <f t="shared" si="0"/>
        <v>0.14700572085235863</v>
      </c>
      <c r="F64" s="138">
        <f t="shared" si="1"/>
        <v>102.68075056635007</v>
      </c>
      <c r="G64" s="139">
        <f t="shared" si="2"/>
        <v>98.003813901572428</v>
      </c>
    </row>
    <row r="65" spans="1:7" ht="26.25" customHeight="1" x14ac:dyDescent="0.4">
      <c r="A65" s="80" t="s">
        <v>105</v>
      </c>
      <c r="B65" s="81">
        <v>1</v>
      </c>
      <c r="C65" s="135">
        <v>7</v>
      </c>
      <c r="D65" s="136">
        <v>13241732</v>
      </c>
      <c r="E65" s="137">
        <f t="shared" si="0"/>
        <v>0.13934850147424319</v>
      </c>
      <c r="F65" s="138">
        <f t="shared" si="1"/>
        <v>97.332325835412263</v>
      </c>
      <c r="G65" s="139">
        <f t="shared" si="2"/>
        <v>92.899000982828795</v>
      </c>
    </row>
    <row r="66" spans="1:7" ht="26.25" customHeight="1" x14ac:dyDescent="0.4">
      <c r="A66" s="80" t="s">
        <v>106</v>
      </c>
      <c r="B66" s="81">
        <v>1</v>
      </c>
      <c r="C66" s="135">
        <v>8</v>
      </c>
      <c r="D66" s="136">
        <v>13592547</v>
      </c>
      <c r="E66" s="137">
        <f t="shared" si="0"/>
        <v>0.143040280204147</v>
      </c>
      <c r="F66" s="138">
        <f t="shared" si="1"/>
        <v>99.910964331339386</v>
      </c>
      <c r="G66" s="139">
        <f t="shared" si="2"/>
        <v>95.360186802764673</v>
      </c>
    </row>
    <row r="67" spans="1:7" ht="27" customHeight="1" thickBot="1" x14ac:dyDescent="0.45">
      <c r="A67" s="80" t="s">
        <v>59</v>
      </c>
      <c r="B67" s="107">
        <f>(B66/B65)*(B64/B63)*(B62/B61)*(B60/B59)*B58</f>
        <v>20</v>
      </c>
      <c r="C67" s="135">
        <v>9</v>
      </c>
      <c r="D67" s="136">
        <v>13555622</v>
      </c>
      <c r="E67" s="137">
        <f t="shared" si="0"/>
        <v>0.14265170237936273</v>
      </c>
      <c r="F67" s="138">
        <f t="shared" si="1"/>
        <v>99.639549977728208</v>
      </c>
      <c r="G67" s="139">
        <f t="shared" si="2"/>
        <v>95.101134919575159</v>
      </c>
    </row>
    <row r="68" spans="1:7" ht="27" customHeight="1" thickBot="1" x14ac:dyDescent="0.45">
      <c r="A68" s="282" t="s">
        <v>61</v>
      </c>
      <c r="B68" s="286"/>
      <c r="C68" s="140">
        <v>10</v>
      </c>
      <c r="D68" s="141">
        <v>13835361</v>
      </c>
      <c r="E68" s="142">
        <f t="shared" si="0"/>
        <v>0.14559551746744209</v>
      </c>
      <c r="F68" s="143">
        <f t="shared" si="1"/>
        <v>101.69574983865822</v>
      </c>
      <c r="G68" s="144">
        <f t="shared" si="2"/>
        <v>97.063678311628067</v>
      </c>
    </row>
    <row r="69" spans="1:7" ht="19.5" customHeight="1" thickBot="1" x14ac:dyDescent="0.35">
      <c r="A69" s="284"/>
      <c r="B69" s="287"/>
      <c r="C69" s="135"/>
      <c r="D69" s="109"/>
      <c r="E69" s="57"/>
      <c r="F69" s="124"/>
      <c r="G69" s="145"/>
    </row>
    <row r="70" spans="1:7" ht="26.25" customHeight="1" x14ac:dyDescent="0.4">
      <c r="A70" s="124"/>
      <c r="B70" s="124"/>
      <c r="C70" s="135" t="s">
        <v>76</v>
      </c>
      <c r="D70" s="146"/>
      <c r="E70" s="147">
        <f>AVERAGE(E59:E68)</f>
        <v>0.14316775056817171</v>
      </c>
      <c r="F70" s="147">
        <f>AVERAGE(F59:F68)</f>
        <v>100</v>
      </c>
      <c r="G70" s="148">
        <f>AVERAGE(G59:G68)</f>
        <v>95.445167045447818</v>
      </c>
    </row>
    <row r="71" spans="1:7" ht="26.25" customHeight="1" x14ac:dyDescent="0.4">
      <c r="A71" s="124"/>
      <c r="B71" s="124"/>
      <c r="C71" s="135"/>
      <c r="D71" s="146"/>
      <c r="E71" s="149">
        <f>STDEV(E59:E68)/E70</f>
        <v>1.4227864614916165E-2</v>
      </c>
      <c r="F71" s="149">
        <f>STDEV(F59:F68)/F70</f>
        <v>1.4227864614916159E-2</v>
      </c>
      <c r="G71" s="150">
        <f>STDEV(G59:G68)/G70</f>
        <v>1.4227864614916173E-2</v>
      </c>
    </row>
    <row r="72" spans="1:7" ht="27" customHeight="1" thickBot="1" x14ac:dyDescent="0.45">
      <c r="A72" s="124"/>
      <c r="B72" s="124"/>
      <c r="C72" s="140"/>
      <c r="D72" s="151"/>
      <c r="E72" s="152">
        <f>COUNT(E59:E68)</f>
        <v>10</v>
      </c>
      <c r="F72" s="152">
        <f>COUNT(F59:F68)</f>
        <v>10</v>
      </c>
      <c r="G72" s="153">
        <f>COUNT(G59:G68)</f>
        <v>10</v>
      </c>
    </row>
    <row r="73" spans="1:7" ht="18.75" customHeight="1" x14ac:dyDescent="0.3">
      <c r="A73" s="124"/>
      <c r="B73" s="57"/>
      <c r="C73" s="57"/>
      <c r="D73" s="106"/>
      <c r="E73" s="146"/>
      <c r="F73" s="57"/>
      <c r="G73" s="154"/>
    </row>
    <row r="74" spans="1:7" ht="18.75" customHeight="1" x14ac:dyDescent="0.3">
      <c r="A74" s="67" t="s">
        <v>77</v>
      </c>
      <c r="B74" s="68" t="s">
        <v>78</v>
      </c>
      <c r="C74" s="288" t="str">
        <f>B20</f>
        <v xml:space="preserve">Desogestral,
Ethnylestradiol </v>
      </c>
      <c r="D74" s="288"/>
      <c r="E74" s="57" t="s">
        <v>79</v>
      </c>
      <c r="F74" s="57"/>
      <c r="G74" s="155">
        <f>G70</f>
        <v>95.445167045447818</v>
      </c>
    </row>
    <row r="75" spans="1:7" ht="18.75" customHeight="1" x14ac:dyDescent="0.3">
      <c r="A75" s="67"/>
      <c r="B75" s="68"/>
      <c r="C75" s="71"/>
      <c r="D75" s="71"/>
      <c r="E75" s="57"/>
      <c r="F75" s="57"/>
      <c r="G75" s="156"/>
    </row>
    <row r="76" spans="1:7" ht="18.75" customHeight="1" x14ac:dyDescent="0.3">
      <c r="A76" s="58" t="s">
        <v>1</v>
      </c>
      <c r="B76" s="66" t="s">
        <v>80</v>
      </c>
      <c r="C76" s="57"/>
      <c r="D76" s="57"/>
      <c r="E76" s="57"/>
      <c r="F76" s="57"/>
      <c r="G76" s="124"/>
    </row>
    <row r="77" spans="1:7" ht="18.75" customHeight="1" x14ac:dyDescent="0.3">
      <c r="A77" s="58"/>
      <c r="B77" s="121"/>
      <c r="C77" s="57"/>
      <c r="D77" s="57"/>
      <c r="E77" s="57"/>
      <c r="F77" s="57"/>
      <c r="G77" s="124"/>
    </row>
    <row r="78" spans="1:7" ht="18.75" customHeight="1" x14ac:dyDescent="0.3">
      <c r="A78" s="124"/>
      <c r="B78" s="289" t="s">
        <v>81</v>
      </c>
      <c r="C78" s="290"/>
      <c r="D78" s="57"/>
      <c r="E78" s="124"/>
      <c r="F78" s="124"/>
      <c r="G78" s="124"/>
    </row>
    <row r="79" spans="1:7" ht="18.75" customHeight="1" x14ac:dyDescent="0.3">
      <c r="A79" s="124"/>
      <c r="B79" s="157" t="s">
        <v>82</v>
      </c>
      <c r="C79" s="158">
        <f>G70</f>
        <v>95.445167045447818</v>
      </c>
      <c r="D79" s="57"/>
      <c r="E79" s="124"/>
      <c r="F79" s="124"/>
      <c r="G79" s="124"/>
    </row>
    <row r="80" spans="1:7" ht="26.25" customHeight="1" x14ac:dyDescent="0.4">
      <c r="A80" s="124"/>
      <c r="B80" s="157" t="s">
        <v>83</v>
      </c>
      <c r="C80" s="159">
        <v>2.4</v>
      </c>
      <c r="D80" s="57"/>
      <c r="E80" s="124"/>
      <c r="F80" s="124"/>
      <c r="G80" s="124"/>
    </row>
    <row r="81" spans="1:7" ht="18.75" customHeight="1" x14ac:dyDescent="0.3">
      <c r="A81" s="124"/>
      <c r="B81" s="157" t="s">
        <v>84</v>
      </c>
      <c r="C81" s="158">
        <f>STDEV(G59:G68)</f>
        <v>1.3579809148706903</v>
      </c>
      <c r="D81" s="57"/>
      <c r="E81" s="124"/>
      <c r="F81" s="124"/>
      <c r="G81" s="124"/>
    </row>
    <row r="82" spans="1:7" ht="18.75" customHeight="1" x14ac:dyDescent="0.3">
      <c r="A82" s="124"/>
      <c r="B82" s="157" t="s">
        <v>85</v>
      </c>
      <c r="C82" s="158">
        <f>IF(OR(G70&lt;98.5,G70&gt;101.5),(IF(98.5&gt;G70,98.5,101.5)),C79)</f>
        <v>98.5</v>
      </c>
      <c r="D82" s="57"/>
      <c r="E82" s="124"/>
      <c r="F82" s="124"/>
      <c r="G82" s="124"/>
    </row>
    <row r="83" spans="1:7" ht="18.75" customHeight="1" x14ac:dyDescent="0.3">
      <c r="A83" s="124"/>
      <c r="B83" s="157" t="s">
        <v>109</v>
      </c>
      <c r="C83" s="160">
        <f>ABS(C82-C79)+(C80*C81)</f>
        <v>6.3139871502418394</v>
      </c>
      <c r="D83" s="57"/>
      <c r="E83" s="124"/>
      <c r="F83" s="124"/>
      <c r="G83" s="124"/>
    </row>
    <row r="84" spans="1:7" ht="18.75" customHeight="1" x14ac:dyDescent="0.3">
      <c r="A84" s="122"/>
      <c r="B84" s="161"/>
      <c r="C84" s="57"/>
      <c r="D84" s="57"/>
      <c r="E84" s="57"/>
      <c r="F84" s="57"/>
      <c r="G84" s="57"/>
    </row>
    <row r="85" spans="1:7" ht="18.75" customHeight="1" x14ac:dyDescent="0.3">
      <c r="A85" s="66" t="s">
        <v>86</v>
      </c>
      <c r="B85" s="66" t="s">
        <v>87</v>
      </c>
      <c r="C85" s="57"/>
      <c r="D85" s="57"/>
      <c r="E85" s="57"/>
      <c r="F85" s="57"/>
      <c r="G85" s="57"/>
    </row>
    <row r="86" spans="1:7" ht="18.75" customHeight="1" x14ac:dyDescent="0.3">
      <c r="A86" s="66"/>
      <c r="B86" s="66"/>
      <c r="C86" s="57"/>
      <c r="D86" s="57"/>
      <c r="E86" s="57"/>
      <c r="F86" s="57"/>
      <c r="G86" s="57"/>
    </row>
    <row r="87" spans="1:7" ht="26.25" customHeight="1" x14ac:dyDescent="0.4">
      <c r="A87" s="67" t="s">
        <v>4</v>
      </c>
      <c r="B87" s="268" t="str">
        <f>B26</f>
        <v>Desogestrel</v>
      </c>
      <c r="C87" s="268"/>
      <c r="D87" s="57"/>
      <c r="E87" s="57"/>
      <c r="F87" s="57"/>
      <c r="G87" s="57"/>
    </row>
    <row r="88" spans="1:7" ht="26.25" customHeight="1" x14ac:dyDescent="0.4">
      <c r="A88" s="68" t="s">
        <v>40</v>
      </c>
      <c r="B88" s="275" t="str">
        <f>B27</f>
        <v>PRS/ D31-1</v>
      </c>
      <c r="C88" s="275"/>
      <c r="D88" s="57"/>
      <c r="E88" s="57"/>
      <c r="F88" s="57"/>
      <c r="G88" s="57"/>
    </row>
    <row r="89" spans="1:7" ht="27" customHeight="1" thickBot="1" x14ac:dyDescent="0.45">
      <c r="A89" s="68" t="s">
        <v>6</v>
      </c>
      <c r="B89" s="69">
        <f>B28</f>
        <v>99.7</v>
      </c>
      <c r="C89" s="57"/>
      <c r="D89" s="57"/>
      <c r="E89" s="57"/>
      <c r="F89" s="57"/>
      <c r="G89" s="57"/>
    </row>
    <row r="90" spans="1:7" ht="27" customHeight="1" thickBot="1" x14ac:dyDescent="0.45">
      <c r="A90" s="68" t="s">
        <v>41</v>
      </c>
      <c r="B90" s="69">
        <f>B33</f>
        <v>0</v>
      </c>
      <c r="C90" s="292" t="s">
        <v>88</v>
      </c>
      <c r="D90" s="293"/>
      <c r="E90" s="293"/>
      <c r="F90" s="293"/>
      <c r="G90" s="294"/>
    </row>
    <row r="91" spans="1:7" ht="18.75" customHeight="1" x14ac:dyDescent="0.3">
      <c r="A91" s="68" t="s">
        <v>43</v>
      </c>
      <c r="B91" s="71">
        <f>B89-B90</f>
        <v>99.7</v>
      </c>
      <c r="C91" s="72"/>
      <c r="D91" s="72"/>
      <c r="E91" s="72"/>
      <c r="F91" s="72"/>
      <c r="G91" s="162"/>
    </row>
    <row r="92" spans="1:7" ht="19.5" customHeight="1" thickBot="1" x14ac:dyDescent="0.35">
      <c r="A92" s="68"/>
      <c r="B92" s="71"/>
      <c r="C92" s="72"/>
      <c r="D92" s="72"/>
      <c r="E92" s="72"/>
      <c r="F92" s="72"/>
      <c r="G92" s="162"/>
    </row>
    <row r="93" spans="1:7" ht="27" customHeight="1" thickBot="1" x14ac:dyDescent="0.45">
      <c r="A93" s="68" t="s">
        <v>44</v>
      </c>
      <c r="B93" s="73">
        <v>1</v>
      </c>
      <c r="C93" s="276" t="s">
        <v>89</v>
      </c>
      <c r="D93" s="277"/>
      <c r="E93" s="277"/>
      <c r="F93" s="277"/>
      <c r="G93" s="277"/>
    </row>
    <row r="94" spans="1:7" ht="27" customHeight="1" thickBot="1" x14ac:dyDescent="0.45">
      <c r="A94" s="68" t="s">
        <v>46</v>
      </c>
      <c r="B94" s="73">
        <v>1</v>
      </c>
      <c r="C94" s="276" t="s">
        <v>90</v>
      </c>
      <c r="D94" s="277"/>
      <c r="E94" s="277"/>
      <c r="F94" s="277"/>
      <c r="G94" s="277"/>
    </row>
    <row r="95" spans="1:7" ht="18.75" customHeight="1" x14ac:dyDescent="0.3">
      <c r="A95" s="68"/>
      <c r="B95" s="74"/>
      <c r="C95" s="75"/>
      <c r="D95" s="75"/>
      <c r="E95" s="75"/>
      <c r="F95" s="75"/>
      <c r="G95" s="75"/>
    </row>
    <row r="96" spans="1:7" ht="18.75" customHeight="1" x14ac:dyDescent="0.3">
      <c r="A96" s="68" t="s">
        <v>48</v>
      </c>
      <c r="B96" s="76">
        <f>B93/B94</f>
        <v>1</v>
      </c>
      <c r="C96" s="57" t="s">
        <v>49</v>
      </c>
      <c r="D96" s="57"/>
      <c r="E96" s="57"/>
      <c r="F96" s="57"/>
      <c r="G96" s="57"/>
    </row>
    <row r="97" spans="1:7" ht="19.5" customHeight="1" thickBot="1" x14ac:dyDescent="0.35">
      <c r="A97" s="66"/>
      <c r="B97" s="66"/>
      <c r="C97" s="57"/>
      <c r="D97" s="57"/>
      <c r="E97" s="57"/>
      <c r="F97" s="57"/>
      <c r="G97" s="57"/>
    </row>
    <row r="98" spans="1:7" ht="27" customHeight="1" thickBot="1" x14ac:dyDescent="0.45">
      <c r="A98" s="78" t="s">
        <v>50</v>
      </c>
      <c r="B98" s="163">
        <v>100</v>
      </c>
      <c r="C98" s="57"/>
      <c r="D98" s="164" t="s">
        <v>51</v>
      </c>
      <c r="E98" s="165"/>
      <c r="F98" s="279" t="s">
        <v>52</v>
      </c>
      <c r="G98" s="281"/>
    </row>
    <row r="99" spans="1:7" ht="26.25" customHeight="1" x14ac:dyDescent="0.4">
      <c r="A99" s="80" t="s">
        <v>99</v>
      </c>
      <c r="B99" s="166">
        <v>5</v>
      </c>
      <c r="C99" s="82" t="s">
        <v>53</v>
      </c>
      <c r="D99" s="83" t="s">
        <v>54</v>
      </c>
      <c r="E99" s="84" t="s">
        <v>55</v>
      </c>
      <c r="F99" s="83" t="s">
        <v>54</v>
      </c>
      <c r="G99" s="85" t="s">
        <v>55</v>
      </c>
    </row>
    <row r="100" spans="1:7" ht="26.25" customHeight="1" x14ac:dyDescent="0.4">
      <c r="A100" s="80" t="s">
        <v>100</v>
      </c>
      <c r="B100" s="166">
        <v>100</v>
      </c>
      <c r="C100" s="86">
        <v>1</v>
      </c>
      <c r="D100" s="87">
        <v>130164</v>
      </c>
      <c r="E100" s="167">
        <f>IF(ISBLANK(D100),"-",$D$110/$D$107*D100)</f>
        <v>128668.52858180318</v>
      </c>
      <c r="F100" s="168">
        <v>119970</v>
      </c>
      <c r="G100" s="89">
        <f>IF(ISBLANK(F100),"-",$D$110/$F$107*F100)</f>
        <v>126486.67797365466</v>
      </c>
    </row>
    <row r="101" spans="1:7" ht="26.25" customHeight="1" x14ac:dyDescent="0.4">
      <c r="A101" s="80" t="s">
        <v>101</v>
      </c>
      <c r="B101" s="166">
        <v>1</v>
      </c>
      <c r="C101" s="90">
        <v>2</v>
      </c>
      <c r="D101" s="91">
        <v>131268</v>
      </c>
      <c r="E101" s="169">
        <f>IF(ISBLANK(D101),"-",$D$110/$D$107*D101)</f>
        <v>129759.84457973127</v>
      </c>
      <c r="F101" s="69">
        <v>118894</v>
      </c>
      <c r="G101" s="93">
        <f>IF(ISBLANK(F101),"-",$D$110/$F$107*F101)</f>
        <v>125352.23048261814</v>
      </c>
    </row>
    <row r="102" spans="1:7" ht="26.25" customHeight="1" x14ac:dyDescent="0.4">
      <c r="A102" s="80" t="s">
        <v>102</v>
      </c>
      <c r="B102" s="166">
        <v>50</v>
      </c>
      <c r="C102" s="90">
        <v>3</v>
      </c>
      <c r="D102" s="91">
        <v>132182</v>
      </c>
      <c r="E102" s="169">
        <f>IF(ISBLANK(D102),"-",$D$110/$D$107*D102)</f>
        <v>130663.34351279854</v>
      </c>
      <c r="F102" s="170">
        <v>118268</v>
      </c>
      <c r="G102" s="93">
        <f>IF(ISBLANK(F102),"-",$D$110/$F$107*F102)</f>
        <v>124692.22664489615</v>
      </c>
    </row>
    <row r="103" spans="1:7" ht="26.25" customHeight="1" x14ac:dyDescent="0.4">
      <c r="A103" s="80" t="s">
        <v>103</v>
      </c>
      <c r="B103" s="166">
        <v>1</v>
      </c>
      <c r="C103" s="94">
        <v>4</v>
      </c>
      <c r="D103" s="95"/>
      <c r="E103" s="171" t="str">
        <f>IF(ISBLANK(D103),"-",$D$110/$D$107*D103)</f>
        <v>-</v>
      </c>
      <c r="F103" s="172"/>
      <c r="G103" s="97" t="str">
        <f>IF(ISBLANK(F103),"-",$D$110/$F$107*F103)</f>
        <v>-</v>
      </c>
    </row>
    <row r="104" spans="1:7" ht="27" customHeight="1" thickBot="1" x14ac:dyDescent="0.45">
      <c r="A104" s="80" t="s">
        <v>104</v>
      </c>
      <c r="B104" s="166">
        <v>1</v>
      </c>
      <c r="C104" s="98" t="s">
        <v>56</v>
      </c>
      <c r="D104" s="173">
        <f>AVERAGE(D100:D103)</f>
        <v>131204.66666666666</v>
      </c>
      <c r="E104" s="100">
        <f>AVERAGE(E100:E103)</f>
        <v>129697.23889144433</v>
      </c>
      <c r="F104" s="173">
        <f>AVERAGE(F100:F103)</f>
        <v>119044</v>
      </c>
      <c r="G104" s="174">
        <f>AVERAGE(G100:G103)</f>
        <v>125510.37836705631</v>
      </c>
    </row>
    <row r="105" spans="1:7" ht="26.25" customHeight="1" x14ac:dyDescent="0.4">
      <c r="A105" s="80" t="s">
        <v>105</v>
      </c>
      <c r="B105" s="166">
        <v>1</v>
      </c>
      <c r="C105" s="102" t="s">
        <v>57</v>
      </c>
      <c r="D105" s="175">
        <v>15.22</v>
      </c>
      <c r="E105" s="57"/>
      <c r="F105" s="103">
        <v>14.27</v>
      </c>
      <c r="G105" s="57"/>
    </row>
    <row r="106" spans="1:7" ht="26.25" customHeight="1" x14ac:dyDescent="0.4">
      <c r="A106" s="80" t="s">
        <v>106</v>
      </c>
      <c r="B106" s="166">
        <v>1</v>
      </c>
      <c r="C106" s="104" t="s">
        <v>58</v>
      </c>
      <c r="D106" s="176">
        <f>D105*$B$96</f>
        <v>15.22</v>
      </c>
      <c r="E106" s="106"/>
      <c r="F106" s="105">
        <f>F105*$B$96</f>
        <v>14.27</v>
      </c>
      <c r="G106" s="57"/>
    </row>
    <row r="107" spans="1:7" ht="19.5" customHeight="1" thickBot="1" x14ac:dyDescent="0.35">
      <c r="A107" s="80" t="s">
        <v>59</v>
      </c>
      <c r="B107" s="90">
        <f>(B106/B105)*(B104/B103)*(B102/B101)*(B100/B99)*B98</f>
        <v>100000</v>
      </c>
      <c r="C107" s="104" t="s">
        <v>60</v>
      </c>
      <c r="D107" s="177">
        <f>D106*$B$91/100</f>
        <v>15.174340000000003</v>
      </c>
      <c r="E107" s="109"/>
      <c r="F107" s="108">
        <f>F106*$B$91/100</f>
        <v>14.22719</v>
      </c>
      <c r="G107" s="57"/>
    </row>
    <row r="108" spans="1:7" ht="19.5" customHeight="1" thickBot="1" x14ac:dyDescent="0.35">
      <c r="A108" s="282" t="s">
        <v>61</v>
      </c>
      <c r="B108" s="283"/>
      <c r="C108" s="104" t="s">
        <v>62</v>
      </c>
      <c r="D108" s="176">
        <f>D107/$B$107</f>
        <v>1.5174340000000003E-4</v>
      </c>
      <c r="E108" s="109"/>
      <c r="F108" s="110">
        <f>F107/$B$107</f>
        <v>1.422719E-4</v>
      </c>
      <c r="G108" s="178"/>
    </row>
    <row r="109" spans="1:7" ht="19.5" customHeight="1" thickBot="1" x14ac:dyDescent="0.35">
      <c r="A109" s="284"/>
      <c r="B109" s="285"/>
      <c r="C109" s="179" t="s">
        <v>63</v>
      </c>
      <c r="D109" s="180">
        <f>$B$56/$B$125</f>
        <v>1.4999999999999999E-4</v>
      </c>
      <c r="E109" s="57"/>
      <c r="F109" s="113"/>
      <c r="G109" s="181"/>
    </row>
    <row r="110" spans="1:7" ht="18.75" customHeight="1" x14ac:dyDescent="0.3">
      <c r="A110" s="57"/>
      <c r="B110" s="57"/>
      <c r="C110" s="182" t="s">
        <v>64</v>
      </c>
      <c r="D110" s="176">
        <f>D109*$B$107</f>
        <v>14.999999999999998</v>
      </c>
      <c r="E110" s="57"/>
      <c r="F110" s="113"/>
      <c r="G110" s="178"/>
    </row>
    <row r="111" spans="1:7" ht="19.5" customHeight="1" thickBot="1" x14ac:dyDescent="0.35">
      <c r="A111" s="57"/>
      <c r="B111" s="57"/>
      <c r="C111" s="183" t="s">
        <v>65</v>
      </c>
      <c r="D111" s="184">
        <f>D110/B96</f>
        <v>14.999999999999998</v>
      </c>
      <c r="E111" s="57"/>
      <c r="F111" s="117"/>
      <c r="G111" s="178"/>
    </row>
    <row r="112" spans="1:7" ht="18.75" customHeight="1" x14ac:dyDescent="0.3">
      <c r="A112" s="57"/>
      <c r="B112" s="57"/>
      <c r="C112" s="185" t="s">
        <v>66</v>
      </c>
      <c r="D112" s="186">
        <f>AVERAGE(E100:E103,G100:G103)</f>
        <v>127603.80862925031</v>
      </c>
      <c r="E112" s="57"/>
      <c r="F112" s="117"/>
      <c r="G112" s="181"/>
    </row>
    <row r="113" spans="1:7" ht="18.75" customHeight="1" x14ac:dyDescent="0.3">
      <c r="A113" s="57"/>
      <c r="B113" s="57"/>
      <c r="C113" s="187" t="s">
        <v>67</v>
      </c>
      <c r="D113" s="188">
        <f>STDEV(E100:E103,G100:G103)/D112</f>
        <v>1.917613462764739E-2</v>
      </c>
      <c r="E113" s="57"/>
      <c r="F113" s="117"/>
      <c r="G113" s="178"/>
    </row>
    <row r="114" spans="1:7" ht="19.5" customHeight="1" thickBot="1" x14ac:dyDescent="0.35">
      <c r="A114" s="57"/>
      <c r="B114" s="57"/>
      <c r="C114" s="189" t="s">
        <v>19</v>
      </c>
      <c r="D114" s="190">
        <f>COUNT(E100:E103,G100:G103)</f>
        <v>6</v>
      </c>
      <c r="E114" s="57"/>
      <c r="F114" s="117"/>
      <c r="G114" s="178"/>
    </row>
    <row r="115" spans="1:7" ht="19.5" customHeight="1" thickBot="1" x14ac:dyDescent="0.35">
      <c r="A115" s="58"/>
      <c r="B115" s="58"/>
      <c r="C115" s="58"/>
      <c r="D115" s="58"/>
      <c r="E115" s="58"/>
      <c r="F115" s="57"/>
      <c r="G115" s="57"/>
    </row>
    <row r="116" spans="1:7" ht="26.25" customHeight="1" x14ac:dyDescent="0.4">
      <c r="A116" s="78" t="s">
        <v>91</v>
      </c>
      <c r="B116" s="163">
        <v>500</v>
      </c>
      <c r="C116" s="164" t="s">
        <v>92</v>
      </c>
      <c r="D116" s="191" t="s">
        <v>54</v>
      </c>
      <c r="E116" s="192" t="s">
        <v>93</v>
      </c>
      <c r="F116" s="193" t="s">
        <v>94</v>
      </c>
      <c r="G116" s="57"/>
    </row>
    <row r="117" spans="1:7" ht="26.25" customHeight="1" x14ac:dyDescent="0.4">
      <c r="A117" s="80" t="s">
        <v>110</v>
      </c>
      <c r="B117" s="166">
        <v>5</v>
      </c>
      <c r="C117" s="135">
        <v>1</v>
      </c>
      <c r="D117" s="194">
        <v>118553</v>
      </c>
      <c r="E117" s="132">
        <f t="shared" ref="E117:E122" si="3">IF(ISBLANK(D117),"-",D117/$D$112*$D$109*$B$125)</f>
        <v>0.1393606522487735</v>
      </c>
      <c r="F117" s="195">
        <f t="shared" ref="F117:F122" si="4">IF(ISBLANK(D117), "-", E117/$B$56)</f>
        <v>0.92907101499182343</v>
      </c>
      <c r="G117" s="57"/>
    </row>
    <row r="118" spans="1:7" ht="26.25" customHeight="1" x14ac:dyDescent="0.4">
      <c r="A118" s="80" t="s">
        <v>111</v>
      </c>
      <c r="B118" s="166">
        <v>10</v>
      </c>
      <c r="C118" s="135">
        <v>2</v>
      </c>
      <c r="D118" s="194">
        <v>115443</v>
      </c>
      <c r="E118" s="137">
        <f t="shared" si="3"/>
        <v>0.1357048052563424</v>
      </c>
      <c r="F118" s="196">
        <f t="shared" si="4"/>
        <v>0.90469870170894939</v>
      </c>
      <c r="G118" s="57"/>
    </row>
    <row r="119" spans="1:7" ht="26.25" customHeight="1" x14ac:dyDescent="0.4">
      <c r="A119" s="80" t="s">
        <v>112</v>
      </c>
      <c r="B119" s="166">
        <v>1</v>
      </c>
      <c r="C119" s="135">
        <v>3</v>
      </c>
      <c r="D119" s="194">
        <v>125128</v>
      </c>
      <c r="E119" s="137">
        <f t="shared" si="3"/>
        <v>0.14708965352698397</v>
      </c>
      <c r="F119" s="196">
        <f t="shared" si="4"/>
        <v>0.98059769017989318</v>
      </c>
      <c r="G119" s="57"/>
    </row>
    <row r="120" spans="1:7" ht="26.25" customHeight="1" x14ac:dyDescent="0.4">
      <c r="A120" s="80" t="s">
        <v>113</v>
      </c>
      <c r="B120" s="166">
        <v>1</v>
      </c>
      <c r="C120" s="135">
        <v>4</v>
      </c>
      <c r="D120" s="194">
        <v>110052</v>
      </c>
      <c r="E120" s="137">
        <f t="shared" si="3"/>
        <v>0.12936761196496102</v>
      </c>
      <c r="F120" s="196">
        <f t="shared" si="4"/>
        <v>0.86245074643307351</v>
      </c>
      <c r="G120" s="57"/>
    </row>
    <row r="121" spans="1:7" ht="26.25" customHeight="1" x14ac:dyDescent="0.4">
      <c r="A121" s="80" t="s">
        <v>114</v>
      </c>
      <c r="B121" s="166">
        <v>1</v>
      </c>
      <c r="C121" s="135">
        <v>5</v>
      </c>
      <c r="D121" s="194">
        <v>103027</v>
      </c>
      <c r="E121" s="137">
        <f t="shared" si="3"/>
        <v>0.12110962961067528</v>
      </c>
      <c r="F121" s="196">
        <f t="shared" si="4"/>
        <v>0.80739753073783527</v>
      </c>
      <c r="G121" s="57"/>
    </row>
    <row r="122" spans="1:7" ht="26.25" customHeight="1" x14ac:dyDescent="0.4">
      <c r="A122" s="80" t="s">
        <v>115</v>
      </c>
      <c r="B122" s="166">
        <v>1</v>
      </c>
      <c r="C122" s="197">
        <v>6</v>
      </c>
      <c r="D122" s="198">
        <v>118158</v>
      </c>
      <c r="E122" s="199">
        <f t="shared" si="3"/>
        <v>0.1388963244153297</v>
      </c>
      <c r="F122" s="200">
        <f t="shared" si="4"/>
        <v>0.92597549610219809</v>
      </c>
      <c r="G122" s="57"/>
    </row>
    <row r="123" spans="1:7" ht="26.25" customHeight="1" x14ac:dyDescent="0.4">
      <c r="A123" s="80" t="s">
        <v>116</v>
      </c>
      <c r="B123" s="166">
        <v>1</v>
      </c>
      <c r="C123" s="135"/>
      <c r="D123" s="106"/>
      <c r="E123" s="57"/>
      <c r="F123" s="139"/>
      <c r="G123" s="57"/>
    </row>
    <row r="124" spans="1:7" ht="26.25" customHeight="1" x14ac:dyDescent="0.4">
      <c r="A124" s="80" t="s">
        <v>117</v>
      </c>
      <c r="B124" s="166">
        <v>1</v>
      </c>
      <c r="C124" s="135"/>
      <c r="D124" s="201"/>
      <c r="E124" s="202" t="s">
        <v>56</v>
      </c>
      <c r="F124" s="203">
        <f>AVERAGE(F117:F122)</f>
        <v>0.90169853002562872</v>
      </c>
      <c r="G124" s="57"/>
    </row>
    <row r="125" spans="1:7" ht="27" customHeight="1" thickBot="1" x14ac:dyDescent="0.45">
      <c r="A125" s="80" t="s">
        <v>95</v>
      </c>
      <c r="B125" s="90">
        <f>(B124/B123)*(B122/B121)*(B120/B119)*(B118/B117)*B116</f>
        <v>1000</v>
      </c>
      <c r="C125" s="204"/>
      <c r="D125" s="205"/>
      <c r="E125" s="68" t="s">
        <v>67</v>
      </c>
      <c r="F125" s="150">
        <f>STDEV(F117:F122)/F124</f>
        <v>6.6551749911763255E-2</v>
      </c>
      <c r="G125" s="57"/>
    </row>
    <row r="126" spans="1:7" ht="27" customHeight="1" thickBot="1" x14ac:dyDescent="0.45">
      <c r="A126" s="282" t="s">
        <v>61</v>
      </c>
      <c r="B126" s="283"/>
      <c r="C126" s="206"/>
      <c r="D126" s="207"/>
      <c r="E126" s="208" t="s">
        <v>19</v>
      </c>
      <c r="F126" s="209">
        <f>COUNT(F117:F122)</f>
        <v>6</v>
      </c>
      <c r="G126" s="57"/>
    </row>
    <row r="127" spans="1:7" ht="19.5" customHeight="1" thickBot="1" x14ac:dyDescent="0.35">
      <c r="A127" s="284"/>
      <c r="B127" s="285"/>
      <c r="C127" s="57"/>
      <c r="D127" s="57"/>
      <c r="E127" s="57"/>
      <c r="F127" s="106"/>
      <c r="G127" s="57"/>
    </row>
    <row r="128" spans="1:7" ht="18.75" customHeight="1" x14ac:dyDescent="0.3">
      <c r="A128" s="75"/>
      <c r="B128" s="75"/>
      <c r="C128" s="57"/>
      <c r="D128" s="57"/>
      <c r="E128" s="57"/>
      <c r="F128" s="106"/>
      <c r="G128" s="57"/>
    </row>
    <row r="129" spans="1:7" ht="18.75" customHeight="1" x14ac:dyDescent="0.3">
      <c r="A129" s="67" t="s">
        <v>77</v>
      </c>
      <c r="B129" s="68" t="s">
        <v>96</v>
      </c>
      <c r="C129" s="288" t="str">
        <f>B20</f>
        <v xml:space="preserve">Desogestral,
Ethnylestradiol </v>
      </c>
      <c r="D129" s="288"/>
      <c r="E129" s="57" t="s">
        <v>97</v>
      </c>
      <c r="F129" s="57"/>
      <c r="G129" s="156">
        <f>F124</f>
        <v>0.90169853002562872</v>
      </c>
    </row>
    <row r="130" spans="1:7" ht="19.5" customHeight="1" thickBot="1" x14ac:dyDescent="0.35">
      <c r="A130" s="210"/>
      <c r="B130" s="210"/>
      <c r="C130" s="211"/>
      <c r="D130" s="211"/>
      <c r="E130" s="211"/>
      <c r="F130" s="211"/>
      <c r="G130" s="211"/>
    </row>
    <row r="131" spans="1:7" ht="18.75" customHeight="1" x14ac:dyDescent="0.3">
      <c r="A131" s="57"/>
      <c r="B131" s="291" t="s">
        <v>25</v>
      </c>
      <c r="C131" s="291"/>
      <c r="D131" s="57"/>
      <c r="E131" s="212" t="s">
        <v>26</v>
      </c>
      <c r="F131" s="213"/>
      <c r="G131" s="212" t="s">
        <v>27</v>
      </c>
    </row>
    <row r="132" spans="1:7" ht="60" customHeight="1" x14ac:dyDescent="0.3">
      <c r="A132" s="67" t="s">
        <v>28</v>
      </c>
      <c r="B132" s="214"/>
      <c r="C132" s="214"/>
      <c r="D132" s="57"/>
      <c r="E132" s="214"/>
      <c r="F132" s="57"/>
      <c r="G132" s="214"/>
    </row>
    <row r="133" spans="1:7" ht="60" customHeight="1" x14ac:dyDescent="0.3">
      <c r="A133" s="67" t="s">
        <v>29</v>
      </c>
      <c r="B133" s="215"/>
      <c r="C133" s="215"/>
      <c r="D133" s="57"/>
      <c r="E133" s="215"/>
      <c r="F133" s="57"/>
      <c r="G133" s="216"/>
    </row>
    <row r="250" spans="1:1" x14ac:dyDescent="0.2">
      <c r="A250" s="56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1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opLeftCell="A22" zoomScale="60" zoomScaleNormal="60" workbookViewId="0">
      <selection activeCell="F43" sqref="F43"/>
    </sheetView>
  </sheetViews>
  <sheetFormatPr defaultRowHeight="12.75" x14ac:dyDescent="0.2"/>
  <cols>
    <col min="1" max="1" width="54.85546875" style="56" customWidth="1"/>
    <col min="2" max="2" width="39.42578125" style="56" customWidth="1"/>
    <col min="3" max="3" width="42.5703125" style="56" customWidth="1"/>
    <col min="4" max="4" width="27.42578125" style="56" customWidth="1"/>
    <col min="5" max="5" width="28.28515625" style="56" customWidth="1"/>
    <col min="6" max="6" width="27.42578125" style="56" customWidth="1"/>
    <col min="7" max="7" width="26" style="56" customWidth="1"/>
    <col min="8" max="8" width="31.7109375" style="56" customWidth="1"/>
    <col min="9" max="16384" width="9.140625" style="56"/>
  </cols>
  <sheetData>
    <row r="1" spans="1:7" x14ac:dyDescent="0.2">
      <c r="A1" s="269" t="s">
        <v>30</v>
      </c>
      <c r="B1" s="269"/>
      <c r="C1" s="269"/>
      <c r="D1" s="269"/>
      <c r="E1" s="269"/>
      <c r="F1" s="269"/>
      <c r="G1" s="269"/>
    </row>
    <row r="2" spans="1:7" x14ac:dyDescent="0.2">
      <c r="A2" s="269"/>
      <c r="B2" s="269"/>
      <c r="C2" s="269"/>
      <c r="D2" s="269"/>
      <c r="E2" s="269"/>
      <c r="F2" s="269"/>
      <c r="G2" s="269"/>
    </row>
    <row r="3" spans="1:7" x14ac:dyDescent="0.2">
      <c r="A3" s="269"/>
      <c r="B3" s="269"/>
      <c r="C3" s="269"/>
      <c r="D3" s="269"/>
      <c r="E3" s="269"/>
      <c r="F3" s="269"/>
      <c r="G3" s="269"/>
    </row>
    <row r="4" spans="1:7" x14ac:dyDescent="0.2">
      <c r="A4" s="269"/>
      <c r="B4" s="269"/>
      <c r="C4" s="269"/>
      <c r="D4" s="269"/>
      <c r="E4" s="269"/>
      <c r="F4" s="269"/>
      <c r="G4" s="269"/>
    </row>
    <row r="5" spans="1:7" x14ac:dyDescent="0.2">
      <c r="A5" s="269"/>
      <c r="B5" s="269"/>
      <c r="C5" s="269"/>
      <c r="D5" s="269"/>
      <c r="E5" s="269"/>
      <c r="F5" s="269"/>
      <c r="G5" s="269"/>
    </row>
    <row r="6" spans="1:7" x14ac:dyDescent="0.2">
      <c r="A6" s="269"/>
      <c r="B6" s="269"/>
      <c r="C6" s="269"/>
      <c r="D6" s="269"/>
      <c r="E6" s="269"/>
      <c r="F6" s="269"/>
      <c r="G6" s="269"/>
    </row>
    <row r="7" spans="1:7" x14ac:dyDescent="0.2">
      <c r="A7" s="269"/>
      <c r="B7" s="269"/>
      <c r="C7" s="269"/>
      <c r="D7" s="269"/>
      <c r="E7" s="269"/>
      <c r="F7" s="269"/>
      <c r="G7" s="269"/>
    </row>
    <row r="8" spans="1:7" x14ac:dyDescent="0.2">
      <c r="A8" s="270" t="s">
        <v>31</v>
      </c>
      <c r="B8" s="270"/>
      <c r="C8" s="270"/>
      <c r="D8" s="270"/>
      <c r="E8" s="270"/>
      <c r="F8" s="270"/>
      <c r="G8" s="270"/>
    </row>
    <row r="9" spans="1:7" x14ac:dyDescent="0.2">
      <c r="A9" s="270"/>
      <c r="B9" s="270"/>
      <c r="C9" s="270"/>
      <c r="D9" s="270"/>
      <c r="E9" s="270"/>
      <c r="F9" s="270"/>
      <c r="G9" s="270"/>
    </row>
    <row r="10" spans="1:7" x14ac:dyDescent="0.2">
      <c r="A10" s="270"/>
      <c r="B10" s="270"/>
      <c r="C10" s="270"/>
      <c r="D10" s="270"/>
      <c r="E10" s="270"/>
      <c r="F10" s="270"/>
      <c r="G10" s="270"/>
    </row>
    <row r="11" spans="1:7" x14ac:dyDescent="0.2">
      <c r="A11" s="270"/>
      <c r="B11" s="270"/>
      <c r="C11" s="270"/>
      <c r="D11" s="270"/>
      <c r="E11" s="270"/>
      <c r="F11" s="270"/>
      <c r="G11" s="270"/>
    </row>
    <row r="12" spans="1:7" x14ac:dyDescent="0.2">
      <c r="A12" s="270"/>
      <c r="B12" s="270"/>
      <c r="C12" s="270"/>
      <c r="D12" s="270"/>
      <c r="E12" s="270"/>
      <c r="F12" s="270"/>
      <c r="G12" s="270"/>
    </row>
    <row r="13" spans="1:7" x14ac:dyDescent="0.2">
      <c r="A13" s="270"/>
      <c r="B13" s="270"/>
      <c r="C13" s="270"/>
      <c r="D13" s="270"/>
      <c r="E13" s="270"/>
      <c r="F13" s="270"/>
      <c r="G13" s="270"/>
    </row>
    <row r="14" spans="1:7" x14ac:dyDescent="0.2">
      <c r="A14" s="270"/>
      <c r="B14" s="270"/>
      <c r="C14" s="270"/>
      <c r="D14" s="270"/>
      <c r="E14" s="270"/>
      <c r="F14" s="270"/>
      <c r="G14" s="270"/>
    </row>
    <row r="15" spans="1:7" ht="19.5" customHeight="1" thickBot="1" x14ac:dyDescent="0.35">
      <c r="A15" s="57"/>
      <c r="B15" s="57"/>
      <c r="C15" s="57"/>
      <c r="D15" s="57"/>
      <c r="E15" s="57"/>
      <c r="F15" s="57"/>
      <c r="G15" s="57"/>
    </row>
    <row r="16" spans="1:7" ht="19.5" customHeight="1" thickBot="1" x14ac:dyDescent="0.35">
      <c r="A16" s="271" t="s">
        <v>32</v>
      </c>
      <c r="B16" s="272"/>
      <c r="C16" s="272"/>
      <c r="D16" s="272"/>
      <c r="E16" s="272"/>
      <c r="F16" s="272"/>
      <c r="G16" s="272"/>
    </row>
    <row r="17" spans="1:7" ht="18.75" customHeight="1" x14ac:dyDescent="0.3">
      <c r="A17" s="58" t="s">
        <v>33</v>
      </c>
      <c r="B17" s="58"/>
      <c r="C17" s="57"/>
      <c r="D17" s="57"/>
      <c r="E17" s="57"/>
      <c r="F17" s="57"/>
      <c r="G17" s="57"/>
    </row>
    <row r="18" spans="1:7" ht="26.25" customHeight="1" x14ac:dyDescent="0.4">
      <c r="A18" s="59" t="s">
        <v>34</v>
      </c>
      <c r="B18" s="273" t="s">
        <v>5</v>
      </c>
      <c r="C18" s="273"/>
      <c r="D18" s="60"/>
      <c r="E18" s="60"/>
      <c r="F18" s="57"/>
      <c r="G18" s="57"/>
    </row>
    <row r="19" spans="1:7" ht="26.25" customHeight="1" x14ac:dyDescent="0.4">
      <c r="A19" s="59" t="s">
        <v>35</v>
      </c>
      <c r="B19" s="55" t="s">
        <v>7</v>
      </c>
      <c r="C19" s="57">
        <v>12</v>
      </c>
      <c r="E19" s="57"/>
      <c r="F19" s="57"/>
      <c r="G19" s="57"/>
    </row>
    <row r="20" spans="1:7" ht="26.25" customHeight="1" x14ac:dyDescent="0.4">
      <c r="A20" s="59" t="s">
        <v>36</v>
      </c>
      <c r="B20" s="274" t="s">
        <v>9</v>
      </c>
      <c r="C20" s="274"/>
      <c r="D20" s="57"/>
      <c r="E20" s="57"/>
      <c r="F20" s="57"/>
      <c r="G20" s="57"/>
    </row>
    <row r="21" spans="1:7" ht="26.25" customHeight="1" x14ac:dyDescent="0.4">
      <c r="A21" s="59" t="s">
        <v>37</v>
      </c>
      <c r="B21" s="52" t="s">
        <v>11</v>
      </c>
      <c r="C21" s="61"/>
      <c r="D21" s="62"/>
      <c r="E21" s="62"/>
      <c r="F21" s="62"/>
      <c r="G21" s="62"/>
    </row>
    <row r="22" spans="1:7" ht="26.25" customHeight="1" x14ac:dyDescent="0.4">
      <c r="A22" s="59" t="s">
        <v>38</v>
      </c>
      <c r="B22" s="63" t="str">
        <f>'[1]Levonorgestrel '!B22</f>
        <v>30th March 2016</v>
      </c>
      <c r="C22" s="64"/>
      <c r="D22" s="57"/>
      <c r="E22" s="57"/>
      <c r="F22" s="57"/>
      <c r="G22" s="57"/>
    </row>
    <row r="23" spans="1:7" ht="26.25" customHeight="1" x14ac:dyDescent="0.4">
      <c r="A23" s="59" t="s">
        <v>39</v>
      </c>
      <c r="B23" s="63" t="str">
        <f>Desogestrel!B23</f>
        <v>8TH July 2016</v>
      </c>
      <c r="C23" s="64"/>
      <c r="D23" s="57"/>
      <c r="E23" s="57"/>
      <c r="F23" s="57"/>
      <c r="G23" s="57"/>
    </row>
    <row r="24" spans="1:7" ht="18.75" customHeight="1" x14ac:dyDescent="0.3">
      <c r="A24" s="59"/>
      <c r="B24" s="65"/>
      <c r="C24" s="57"/>
      <c r="D24" s="57"/>
      <c r="E24" s="57"/>
      <c r="F24" s="57"/>
      <c r="G24" s="57"/>
    </row>
    <row r="25" spans="1:7" ht="18.75" customHeight="1" x14ac:dyDescent="0.3">
      <c r="A25" s="66" t="s">
        <v>1</v>
      </c>
      <c r="B25" s="65"/>
      <c r="C25" s="57"/>
      <c r="D25" s="57"/>
      <c r="E25" s="57"/>
      <c r="F25" s="57"/>
      <c r="G25" s="57"/>
    </row>
    <row r="26" spans="1:7" ht="26.25" customHeight="1" x14ac:dyDescent="0.4">
      <c r="A26" s="67" t="s">
        <v>4</v>
      </c>
      <c r="B26" s="268" t="s">
        <v>130</v>
      </c>
      <c r="C26" s="268"/>
      <c r="D26" s="57"/>
      <c r="E26" s="57"/>
      <c r="F26" s="57"/>
      <c r="G26" s="57"/>
    </row>
    <row r="27" spans="1:7" ht="26.25" customHeight="1" x14ac:dyDescent="0.4">
      <c r="A27" s="68" t="s">
        <v>40</v>
      </c>
      <c r="B27" s="275" t="s">
        <v>98</v>
      </c>
      <c r="C27" s="275"/>
      <c r="D27" s="57"/>
      <c r="E27" s="57"/>
      <c r="F27" s="57"/>
      <c r="G27" s="57"/>
    </row>
    <row r="28" spans="1:7" ht="27" customHeight="1" thickBot="1" x14ac:dyDescent="0.45">
      <c r="A28" s="68" t="s">
        <v>6</v>
      </c>
      <c r="B28" s="69">
        <v>99.8</v>
      </c>
      <c r="C28" s="57"/>
      <c r="D28" s="57"/>
      <c r="E28" s="57"/>
      <c r="F28" s="57"/>
      <c r="G28" s="57"/>
    </row>
    <row r="29" spans="1:7" ht="27" customHeight="1" thickBot="1" x14ac:dyDescent="0.45">
      <c r="A29" s="68" t="s">
        <v>41</v>
      </c>
      <c r="B29" s="70">
        <v>0</v>
      </c>
      <c r="C29" s="276" t="s">
        <v>42</v>
      </c>
      <c r="D29" s="277"/>
      <c r="E29" s="277"/>
      <c r="F29" s="277"/>
      <c r="G29" s="278"/>
    </row>
    <row r="30" spans="1:7" ht="19.5" customHeight="1" thickBot="1" x14ac:dyDescent="0.35">
      <c r="A30" s="68" t="s">
        <v>43</v>
      </c>
      <c r="B30" s="71">
        <f>B28-B29</f>
        <v>99.8</v>
      </c>
      <c r="C30" s="72"/>
      <c r="D30" s="72"/>
      <c r="E30" s="72"/>
      <c r="F30" s="72"/>
      <c r="G30" s="72"/>
    </row>
    <row r="31" spans="1:7" ht="27" customHeight="1" thickBot="1" x14ac:dyDescent="0.45">
      <c r="A31" s="68" t="s">
        <v>44</v>
      </c>
      <c r="B31" s="73">
        <v>1</v>
      </c>
      <c r="C31" s="276" t="s">
        <v>45</v>
      </c>
      <c r="D31" s="277"/>
      <c r="E31" s="277"/>
      <c r="F31" s="277"/>
      <c r="G31" s="278"/>
    </row>
    <row r="32" spans="1:7" ht="27" customHeight="1" thickBot="1" x14ac:dyDescent="0.45">
      <c r="A32" s="68" t="s">
        <v>46</v>
      </c>
      <c r="B32" s="73">
        <v>1</v>
      </c>
      <c r="C32" s="276" t="s">
        <v>47</v>
      </c>
      <c r="D32" s="277"/>
      <c r="E32" s="277"/>
      <c r="F32" s="277"/>
      <c r="G32" s="278"/>
    </row>
    <row r="33" spans="1:7" ht="18.75" customHeight="1" x14ac:dyDescent="0.3">
      <c r="A33" s="68"/>
      <c r="B33" s="74"/>
      <c r="C33" s="75"/>
      <c r="D33" s="75"/>
      <c r="E33" s="75"/>
      <c r="F33" s="75"/>
      <c r="G33" s="75"/>
    </row>
    <row r="34" spans="1:7" ht="18.75" customHeight="1" x14ac:dyDescent="0.3">
      <c r="A34" s="68" t="s">
        <v>48</v>
      </c>
      <c r="B34" s="76">
        <f>B31/B32</f>
        <v>1</v>
      </c>
      <c r="C34" s="57" t="s">
        <v>49</v>
      </c>
      <c r="D34" s="57"/>
      <c r="E34" s="57"/>
      <c r="F34" s="57"/>
      <c r="G34" s="57"/>
    </row>
    <row r="35" spans="1:7" ht="19.5" customHeight="1" thickBot="1" x14ac:dyDescent="0.35">
      <c r="A35" s="68"/>
      <c r="B35" s="71"/>
      <c r="C35" s="77"/>
      <c r="D35" s="77"/>
      <c r="E35" s="77"/>
      <c r="F35" s="77"/>
      <c r="G35" s="57"/>
    </row>
    <row r="36" spans="1:7" ht="27" customHeight="1" thickBot="1" x14ac:dyDescent="0.45">
      <c r="A36" s="78" t="s">
        <v>50</v>
      </c>
      <c r="B36" s="79">
        <v>100</v>
      </c>
      <c r="C36" s="57"/>
      <c r="D36" s="279" t="s">
        <v>51</v>
      </c>
      <c r="E36" s="280"/>
      <c r="F36" s="279" t="s">
        <v>52</v>
      </c>
      <c r="G36" s="281"/>
    </row>
    <row r="37" spans="1:7" ht="26.25" customHeight="1" x14ac:dyDescent="0.4">
      <c r="A37" s="80" t="s">
        <v>99</v>
      </c>
      <c r="B37" s="81">
        <v>4</v>
      </c>
      <c r="C37" s="82" t="s">
        <v>53</v>
      </c>
      <c r="D37" s="83" t="s">
        <v>54</v>
      </c>
      <c r="E37" s="84" t="s">
        <v>55</v>
      </c>
      <c r="F37" s="83" t="s">
        <v>54</v>
      </c>
      <c r="G37" s="85" t="s">
        <v>55</v>
      </c>
    </row>
    <row r="38" spans="1:7" ht="26.25" customHeight="1" x14ac:dyDescent="0.4">
      <c r="A38" s="80" t="s">
        <v>100</v>
      </c>
      <c r="B38" s="81">
        <v>100</v>
      </c>
      <c r="C38" s="86">
        <v>1</v>
      </c>
      <c r="D38" s="53">
        <v>1904343</v>
      </c>
      <c r="E38" s="88">
        <f>IF(ISBLANK(D38),"-",$D$48/$D$45*D38)</f>
        <v>1673823.9637169077</v>
      </c>
      <c r="F38" s="53">
        <v>1507232</v>
      </c>
      <c r="G38" s="89">
        <f>IF(ISBLANK(F38),"-",$D$48/$F$45*F38)</f>
        <v>1628831.4333585205</v>
      </c>
    </row>
    <row r="39" spans="1:7" ht="26.25" customHeight="1" x14ac:dyDescent="0.4">
      <c r="A39" s="80" t="s">
        <v>101</v>
      </c>
      <c r="B39" s="81">
        <v>1</v>
      </c>
      <c r="C39" s="90">
        <v>2</v>
      </c>
      <c r="D39" s="54">
        <v>1906763</v>
      </c>
      <c r="E39" s="92">
        <f>IF(ISBLANK(D39),"-",$D$48/$D$45*D39)</f>
        <v>1675951.0248567311</v>
      </c>
      <c r="F39" s="54">
        <v>1509331</v>
      </c>
      <c r="G39" s="93">
        <f>IF(ISBLANK(F39),"-",$D$48/$F$45*F39)</f>
        <v>1631099.7750462098</v>
      </c>
    </row>
    <row r="40" spans="1:7" ht="26.25" customHeight="1" x14ac:dyDescent="0.4">
      <c r="A40" s="80" t="s">
        <v>102</v>
      </c>
      <c r="B40" s="81">
        <v>1</v>
      </c>
      <c r="C40" s="90">
        <v>3</v>
      </c>
      <c r="D40" s="54">
        <v>1901025</v>
      </c>
      <c r="E40" s="92">
        <f>IF(ISBLANK(D40),"-",$D$48/$D$45*D40)</f>
        <v>1670907.6046830504</v>
      </c>
      <c r="F40" s="54">
        <v>1507089</v>
      </c>
      <c r="G40" s="93">
        <f>IF(ISBLANK(F40),"-",$D$48/$F$45*F40)</f>
        <v>1628676.8965022366</v>
      </c>
    </row>
    <row r="41" spans="1:7" ht="26.25" customHeight="1" x14ac:dyDescent="0.4">
      <c r="A41" s="80" t="s">
        <v>103</v>
      </c>
      <c r="B41" s="81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</row>
    <row r="42" spans="1:7" ht="27" customHeight="1" thickBot="1" x14ac:dyDescent="0.45">
      <c r="A42" s="80" t="s">
        <v>104</v>
      </c>
      <c r="B42" s="81">
        <v>1</v>
      </c>
      <c r="C42" s="98" t="s">
        <v>56</v>
      </c>
      <c r="D42" s="99">
        <f>AVERAGE(D38:D41)</f>
        <v>1904043.6666666667</v>
      </c>
      <c r="E42" s="100">
        <f>AVERAGE(E38:E41)</f>
        <v>1673560.8644188966</v>
      </c>
      <c r="F42" s="99">
        <f>AVERAGE(F38:F41)</f>
        <v>1507884</v>
      </c>
      <c r="G42" s="101">
        <f>AVERAGE(G38:G41)</f>
        <v>1629536.034968989</v>
      </c>
    </row>
    <row r="43" spans="1:7" ht="26.25" customHeight="1" x14ac:dyDescent="0.4">
      <c r="A43" s="80" t="s">
        <v>105</v>
      </c>
      <c r="B43" s="81">
        <v>1</v>
      </c>
      <c r="C43" s="102" t="s">
        <v>57</v>
      </c>
      <c r="D43" s="103">
        <v>14.25</v>
      </c>
      <c r="E43" s="57"/>
      <c r="F43" s="103">
        <v>11.59</v>
      </c>
      <c r="G43" s="57"/>
    </row>
    <row r="44" spans="1:7" ht="26.25" customHeight="1" x14ac:dyDescent="0.4">
      <c r="A44" s="80" t="s">
        <v>106</v>
      </c>
      <c r="B44" s="81">
        <v>1</v>
      </c>
      <c r="C44" s="104" t="s">
        <v>58</v>
      </c>
      <c r="D44" s="105">
        <f>D43*$B$34</f>
        <v>14.25</v>
      </c>
      <c r="E44" s="106"/>
      <c r="F44" s="105">
        <f>F43*$B$34</f>
        <v>11.59</v>
      </c>
      <c r="G44" s="57"/>
    </row>
    <row r="45" spans="1:7" ht="19.5" customHeight="1" thickBot="1" x14ac:dyDescent="0.35">
      <c r="A45" s="80" t="s">
        <v>59</v>
      </c>
      <c r="B45" s="107">
        <f>(B44/B43)*(B42/B41)*(B40/B39)*(B38/B37)*B36</f>
        <v>2500</v>
      </c>
      <c r="C45" s="104" t="s">
        <v>60</v>
      </c>
      <c r="D45" s="108">
        <f>D44*$B$30/100</f>
        <v>14.221499999999999</v>
      </c>
      <c r="E45" s="109"/>
      <c r="F45" s="108">
        <f>F44*$B$30/100</f>
        <v>11.56682</v>
      </c>
      <c r="G45" s="57"/>
    </row>
    <row r="46" spans="1:7" ht="19.5" customHeight="1" thickBot="1" x14ac:dyDescent="0.35">
      <c r="A46" s="282" t="s">
        <v>61</v>
      </c>
      <c r="B46" s="283"/>
      <c r="C46" s="104" t="s">
        <v>62</v>
      </c>
      <c r="D46" s="105">
        <f>D45/$B$45</f>
        <v>5.6885999999999994E-3</v>
      </c>
      <c r="E46" s="109"/>
      <c r="F46" s="110">
        <f>F45/$B$45</f>
        <v>4.6267280000000001E-3</v>
      </c>
      <c r="G46" s="57"/>
    </row>
    <row r="47" spans="1:7" ht="27" customHeight="1" thickBot="1" x14ac:dyDescent="0.45">
      <c r="A47" s="284"/>
      <c r="B47" s="285"/>
      <c r="C47" s="111" t="s">
        <v>63</v>
      </c>
      <c r="D47" s="112">
        <v>5.0000000000000001E-3</v>
      </c>
      <c r="E47" s="57"/>
      <c r="F47" s="113"/>
      <c r="G47" s="57"/>
    </row>
    <row r="48" spans="1:7" ht="18.75" customHeight="1" x14ac:dyDescent="0.3">
      <c r="A48" s="57"/>
      <c r="B48" s="57"/>
      <c r="C48" s="114" t="s">
        <v>64</v>
      </c>
      <c r="D48" s="108">
        <f>D47*$B$45</f>
        <v>12.5</v>
      </c>
      <c r="E48" s="57"/>
      <c r="F48" s="113"/>
      <c r="G48" s="57"/>
    </row>
    <row r="49" spans="1:7" ht="19.5" customHeight="1" thickBot="1" x14ac:dyDescent="0.35">
      <c r="A49" s="57"/>
      <c r="B49" s="57"/>
      <c r="C49" s="68" t="s">
        <v>65</v>
      </c>
      <c r="D49" s="115">
        <f>D48/B34</f>
        <v>12.5</v>
      </c>
      <c r="E49" s="57"/>
      <c r="F49" s="113"/>
      <c r="G49" s="57"/>
    </row>
    <row r="50" spans="1:7" ht="18.75" customHeight="1" x14ac:dyDescent="0.3">
      <c r="A50" s="57"/>
      <c r="B50" s="57"/>
      <c r="C50" s="78" t="s">
        <v>66</v>
      </c>
      <c r="D50" s="116">
        <f>AVERAGE(E38:E41,G38:G41)</f>
        <v>1651548.4496939427</v>
      </c>
      <c r="E50" s="57"/>
      <c r="F50" s="117"/>
      <c r="G50" s="57"/>
    </row>
    <row r="51" spans="1:7" ht="18.75" customHeight="1" x14ac:dyDescent="0.3">
      <c r="A51" s="57"/>
      <c r="B51" s="57"/>
      <c r="C51" s="80" t="s">
        <v>67</v>
      </c>
      <c r="D51" s="118">
        <f>STDEV(E38:E41,G38:G41)/D50</f>
        <v>1.4641852787513562E-2</v>
      </c>
      <c r="E51" s="57"/>
      <c r="F51" s="117"/>
      <c r="G51" s="57"/>
    </row>
    <row r="52" spans="1:7" ht="19.5" customHeight="1" thickBot="1" x14ac:dyDescent="0.35">
      <c r="A52" s="57"/>
      <c r="B52" s="57"/>
      <c r="C52" s="119" t="s">
        <v>19</v>
      </c>
      <c r="D52" s="120">
        <f>COUNT(E38:E41,G38:G41)</f>
        <v>6</v>
      </c>
      <c r="E52" s="57"/>
      <c r="F52" s="117"/>
      <c r="G52" s="57"/>
    </row>
    <row r="53" spans="1:7" ht="18.75" customHeight="1" x14ac:dyDescent="0.3">
      <c r="A53" s="57"/>
      <c r="B53" s="57"/>
      <c r="C53" s="57"/>
      <c r="D53" s="57"/>
      <c r="E53" s="57"/>
      <c r="F53" s="57"/>
      <c r="G53" s="57"/>
    </row>
    <row r="54" spans="1:7" ht="18.75" customHeight="1" x14ac:dyDescent="0.3">
      <c r="A54" s="58" t="s">
        <v>1</v>
      </c>
      <c r="B54" s="121" t="s">
        <v>68</v>
      </c>
      <c r="C54" s="57"/>
      <c r="D54" s="57"/>
      <c r="E54" s="57"/>
      <c r="F54" s="57"/>
      <c r="G54" s="57"/>
    </row>
    <row r="55" spans="1:7" ht="18.75" customHeight="1" x14ac:dyDescent="0.3">
      <c r="A55" s="57" t="s">
        <v>69</v>
      </c>
      <c r="B55" s="122" t="str">
        <f>B21</f>
        <v>Each tablets contains:
Desogetrel 0.15 mg
Ethiylestradiol 0.03 mg</v>
      </c>
      <c r="C55" s="57"/>
      <c r="D55" s="57"/>
      <c r="E55" s="57"/>
      <c r="F55" s="57"/>
      <c r="G55" s="57"/>
    </row>
    <row r="56" spans="1:7" ht="26.25" customHeight="1" x14ac:dyDescent="0.4">
      <c r="A56" s="122" t="s">
        <v>107</v>
      </c>
      <c r="B56" s="69">
        <v>0.03</v>
      </c>
      <c r="C56" s="57" t="str">
        <f>B20</f>
        <v xml:space="preserve">Desogestral,
Ethnylestradiol </v>
      </c>
      <c r="D56" s="57"/>
      <c r="E56" s="57"/>
      <c r="F56" s="57"/>
      <c r="G56" s="57"/>
    </row>
    <row r="57" spans="1:7" ht="17.25" customHeight="1" thickBot="1" x14ac:dyDescent="0.35">
      <c r="A57" s="123" t="s">
        <v>108</v>
      </c>
      <c r="B57" s="123">
        <f>[1]Uniformity!C46</f>
        <v>69.606999999999999</v>
      </c>
      <c r="C57" s="123"/>
      <c r="D57" s="124"/>
      <c r="E57" s="124"/>
      <c r="F57" s="124"/>
      <c r="G57" s="124"/>
    </row>
    <row r="58" spans="1:7" ht="57.75" customHeight="1" x14ac:dyDescent="0.4">
      <c r="A58" s="78" t="s">
        <v>70</v>
      </c>
      <c r="B58" s="79">
        <v>5</v>
      </c>
      <c r="C58" s="125" t="s">
        <v>71</v>
      </c>
      <c r="D58" s="126" t="s">
        <v>72</v>
      </c>
      <c r="E58" s="127" t="s">
        <v>73</v>
      </c>
      <c r="F58" s="128" t="s">
        <v>74</v>
      </c>
      <c r="G58" s="129" t="s">
        <v>75</v>
      </c>
    </row>
    <row r="59" spans="1:7" ht="26.25" customHeight="1" x14ac:dyDescent="0.4">
      <c r="A59" s="80" t="s">
        <v>99</v>
      </c>
      <c r="B59" s="81">
        <v>1</v>
      </c>
      <c r="C59" s="130">
        <v>1</v>
      </c>
      <c r="D59" s="131">
        <v>1853400</v>
      </c>
      <c r="E59" s="132">
        <f t="shared" ref="E59:E63" si="0">IF(ISBLANK(D59),"-",D59/$D$50*$D$47*$B$67)</f>
        <v>2.8055489385483415E-2</v>
      </c>
      <c r="F59" s="133">
        <f t="shared" ref="F59:F63" si="1">IF(ISBLANK(D59),"-",E59/$E$70*100)</f>
        <v>99.733972784474716</v>
      </c>
      <c r="G59" s="134">
        <f t="shared" ref="G59:G63" si="2">IF(ISBLANK(D59),"-",E59/$B$56*100)</f>
        <v>93.518297951611387</v>
      </c>
    </row>
    <row r="60" spans="1:7" ht="26.25" customHeight="1" x14ac:dyDescent="0.4">
      <c r="A60" s="80" t="s">
        <v>100</v>
      </c>
      <c r="B60" s="81">
        <v>1</v>
      </c>
      <c r="C60" s="135">
        <v>2</v>
      </c>
      <c r="D60" s="136">
        <v>1814724</v>
      </c>
      <c r="E60" s="137">
        <f t="shared" si="0"/>
        <v>2.7470038804134029E-2</v>
      </c>
      <c r="F60" s="138">
        <f t="shared" si="1"/>
        <v>97.652764663501188</v>
      </c>
      <c r="G60" s="139">
        <f t="shared" si="2"/>
        <v>91.566796013780106</v>
      </c>
    </row>
    <row r="61" spans="1:7" ht="26.25" customHeight="1" x14ac:dyDescent="0.4">
      <c r="A61" s="80" t="s">
        <v>101</v>
      </c>
      <c r="B61" s="81">
        <v>1</v>
      </c>
      <c r="C61" s="135">
        <v>3</v>
      </c>
      <c r="D61" s="136">
        <v>1918887</v>
      </c>
      <c r="E61" s="137">
        <f t="shared" si="0"/>
        <v>2.904678637123239E-2</v>
      </c>
      <c r="F61" s="138">
        <f t="shared" si="1"/>
        <v>103.25791725179793</v>
      </c>
      <c r="G61" s="139">
        <f t="shared" si="2"/>
        <v>96.822621237441311</v>
      </c>
    </row>
    <row r="62" spans="1:7" ht="26.25" customHeight="1" x14ac:dyDescent="0.4">
      <c r="A62" s="80" t="s">
        <v>102</v>
      </c>
      <c r="B62" s="81">
        <v>1</v>
      </c>
      <c r="C62" s="135">
        <v>4</v>
      </c>
      <c r="D62" s="136">
        <v>1906406</v>
      </c>
      <c r="E62" s="137">
        <f t="shared" si="0"/>
        <v>2.8857857611644489E-2</v>
      </c>
      <c r="F62" s="138">
        <f t="shared" si="1"/>
        <v>102.58629768002552</v>
      </c>
      <c r="G62" s="139">
        <f t="shared" si="2"/>
        <v>96.192858705481626</v>
      </c>
    </row>
    <row r="63" spans="1:7" ht="26.25" customHeight="1" x14ac:dyDescent="0.4">
      <c r="A63" s="80" t="s">
        <v>103</v>
      </c>
      <c r="B63" s="81">
        <v>1</v>
      </c>
      <c r="C63" s="135">
        <v>5</v>
      </c>
      <c r="D63" s="136">
        <v>1901055</v>
      </c>
      <c r="E63" s="137">
        <f t="shared" si="0"/>
        <v>2.8776857868630719E-2</v>
      </c>
      <c r="F63" s="138">
        <f t="shared" si="1"/>
        <v>102.29835309797646</v>
      </c>
      <c r="G63" s="139">
        <f t="shared" si="2"/>
        <v>95.922859562102403</v>
      </c>
    </row>
    <row r="64" spans="1:7" ht="26.25" customHeight="1" x14ac:dyDescent="0.4">
      <c r="A64" s="80" t="s">
        <v>104</v>
      </c>
      <c r="B64" s="81">
        <v>1</v>
      </c>
      <c r="C64" s="135">
        <v>6</v>
      </c>
      <c r="D64" s="136">
        <v>1789210</v>
      </c>
      <c r="E64" s="137">
        <f>IF(ISBLANK(D64),"-",D64/$D$50*$D$47*$B$67)</f>
        <v>2.7083825490126678E-2</v>
      </c>
      <c r="F64" s="138">
        <f>IF(ISBLANK(D64),"-",E64/$E$70*100)</f>
        <v>96.279821649784182</v>
      </c>
      <c r="G64" s="139">
        <f>IF(ISBLANK(D64),"-",E64/$B$56*100)</f>
        <v>90.279418300422265</v>
      </c>
    </row>
    <row r="65" spans="1:7" ht="26.25" customHeight="1" x14ac:dyDescent="0.4">
      <c r="A65" s="80" t="s">
        <v>105</v>
      </c>
      <c r="B65" s="81">
        <v>1</v>
      </c>
      <c r="C65" s="135">
        <v>7</v>
      </c>
      <c r="D65" s="136">
        <v>1858710</v>
      </c>
      <c r="E65" s="137">
        <f>IF(ISBLANK(D65),"-",D65/$D$50*$D$47*$B$67)</f>
        <v>2.8135868498808614E-2</v>
      </c>
      <c r="F65" s="138">
        <f>IF(ISBLANK(D65),"-",E65/$E$70*100)</f>
        <v>100.01971110080447</v>
      </c>
      <c r="G65" s="139">
        <f>IF(ISBLANK(D65),"-",E65/$B$56*100)</f>
        <v>93.786228329362046</v>
      </c>
    </row>
    <row r="66" spans="1:7" ht="26.25" customHeight="1" x14ac:dyDescent="0.4">
      <c r="A66" s="80" t="s">
        <v>106</v>
      </c>
      <c r="B66" s="81">
        <v>1</v>
      </c>
      <c r="C66" s="135">
        <v>8</v>
      </c>
      <c r="D66" s="136">
        <v>1842328</v>
      </c>
      <c r="E66" s="137">
        <f>IF(ISBLANK(D66),"-",D66/$D$50*$D$47*$B$67)</f>
        <v>2.7887889094949225E-2</v>
      </c>
      <c r="F66" s="138">
        <f>IF(ISBLANK(D66),"-",E66/$E$70*100)</f>
        <v>99.138173417543825</v>
      </c>
      <c r="G66" s="139">
        <f>IF(ISBLANK(D66),"-",E66/$B$56*100)</f>
        <v>92.959630316497424</v>
      </c>
    </row>
    <row r="67" spans="1:7" ht="27" customHeight="1" thickBot="1" x14ac:dyDescent="0.45">
      <c r="A67" s="80" t="s">
        <v>59</v>
      </c>
      <c r="B67" s="107">
        <f>(B66/B65)*(B64/B63)*(B62/B61)*(B60/B59)*B58</f>
        <v>5</v>
      </c>
      <c r="C67" s="135">
        <v>9</v>
      </c>
      <c r="D67" s="136">
        <v>1880872</v>
      </c>
      <c r="E67" s="137">
        <f>IF(ISBLANK(D67),"-",D67/$D$50*$D$47*$B$67)</f>
        <v>2.847134155144759E-2</v>
      </c>
      <c r="F67" s="138">
        <f>IF(ISBLANK(D67),"-",E67/$E$70*100)</f>
        <v>101.21227843912837</v>
      </c>
      <c r="G67" s="139">
        <f>IF(ISBLANK(D67),"-",E67/$B$56*100)</f>
        <v>94.904471838158628</v>
      </c>
    </row>
    <row r="68" spans="1:7" ht="27" customHeight="1" thickBot="1" x14ac:dyDescent="0.45">
      <c r="A68" s="282" t="s">
        <v>61</v>
      </c>
      <c r="B68" s="286"/>
      <c r="C68" s="140">
        <v>10</v>
      </c>
      <c r="D68" s="136">
        <v>1817845</v>
      </c>
      <c r="E68" s="142">
        <f>IF(ISBLANK(D68),"-",D68/$D$50*$D$47*$B$67)</f>
        <v>2.751728234701311E-2</v>
      </c>
      <c r="F68" s="143">
        <f>IF(ISBLANK(D68),"-",E68/$E$70*100)</f>
        <v>97.820709914963544</v>
      </c>
      <c r="G68" s="144">
        <f>IF(ISBLANK(D68),"-",E68/$B$56*100)</f>
        <v>91.724274490043697</v>
      </c>
    </row>
    <row r="69" spans="1:7" ht="19.5" customHeight="1" thickBot="1" x14ac:dyDescent="0.35">
      <c r="A69" s="284"/>
      <c r="B69" s="287"/>
      <c r="C69" s="135"/>
      <c r="D69" s="109"/>
      <c r="E69" s="57"/>
      <c r="F69" s="124"/>
      <c r="G69" s="145"/>
    </row>
    <row r="70" spans="1:7" ht="26.25" customHeight="1" x14ac:dyDescent="0.4">
      <c r="A70" s="124"/>
      <c r="B70" s="124"/>
      <c r="C70" s="135" t="s">
        <v>76</v>
      </c>
      <c r="D70" s="146"/>
      <c r="E70" s="147">
        <f>AVERAGE(E59:E68)</f>
        <v>2.813032370234702E-2</v>
      </c>
      <c r="F70" s="147">
        <f>AVERAGE(F59:F68)</f>
        <v>100.00000000000003</v>
      </c>
      <c r="G70" s="148">
        <f>AVERAGE(G59:G68)</f>
        <v>93.767745674490101</v>
      </c>
    </row>
    <row r="71" spans="1:7" ht="26.25" customHeight="1" x14ac:dyDescent="0.4">
      <c r="A71" s="124"/>
      <c r="B71" s="124"/>
      <c r="C71" s="135"/>
      <c r="D71" s="146"/>
      <c r="E71" s="149">
        <f>STDEV(E59:E68)/E70</f>
        <v>2.3325583595987503E-2</v>
      </c>
      <c r="F71" s="149">
        <f>STDEV(F59:F68)/F70</f>
        <v>2.3325583595987479E-2</v>
      </c>
      <c r="G71" s="150">
        <f>STDEV(G59:G68)/G70</f>
        <v>2.3325583595987485E-2</v>
      </c>
    </row>
    <row r="72" spans="1:7" ht="27" customHeight="1" thickBot="1" x14ac:dyDescent="0.45">
      <c r="A72" s="124"/>
      <c r="B72" s="124"/>
      <c r="C72" s="140"/>
      <c r="D72" s="151"/>
      <c r="E72" s="152">
        <f>COUNT(E59:E68)</f>
        <v>10</v>
      </c>
      <c r="F72" s="152">
        <f>COUNT(F59:F68)</f>
        <v>10</v>
      </c>
      <c r="G72" s="153">
        <f>COUNT(G59:G68)</f>
        <v>10</v>
      </c>
    </row>
    <row r="73" spans="1:7" ht="18.75" customHeight="1" x14ac:dyDescent="0.3">
      <c r="A73" s="124"/>
      <c r="B73" s="57"/>
      <c r="C73" s="57"/>
      <c r="D73" s="106"/>
      <c r="E73" s="146"/>
      <c r="F73" s="57"/>
      <c r="G73" s="154"/>
    </row>
    <row r="74" spans="1:7" ht="18.75" customHeight="1" x14ac:dyDescent="0.3">
      <c r="A74" s="67" t="s">
        <v>77</v>
      </c>
      <c r="B74" s="68" t="s">
        <v>78</v>
      </c>
      <c r="C74" s="288" t="str">
        <f>B20</f>
        <v xml:space="preserve">Desogestral,
Ethnylestradiol </v>
      </c>
      <c r="D74" s="288"/>
      <c r="E74" s="57" t="s">
        <v>79</v>
      </c>
      <c r="F74" s="57"/>
      <c r="G74" s="155">
        <f>G70</f>
        <v>93.767745674490101</v>
      </c>
    </row>
    <row r="75" spans="1:7" ht="18.75" customHeight="1" x14ac:dyDescent="0.3">
      <c r="A75" s="67"/>
      <c r="B75" s="68"/>
      <c r="C75" s="71"/>
      <c r="D75" s="71"/>
      <c r="E75" s="57"/>
      <c r="F75" s="57"/>
      <c r="G75" s="156"/>
    </row>
    <row r="76" spans="1:7" ht="18.75" customHeight="1" x14ac:dyDescent="0.3">
      <c r="A76" s="58" t="s">
        <v>1</v>
      </c>
      <c r="B76" s="66" t="s">
        <v>80</v>
      </c>
      <c r="C76" s="57"/>
      <c r="D76" s="57"/>
      <c r="E76" s="57"/>
      <c r="F76" s="57"/>
      <c r="G76" s="124"/>
    </row>
    <row r="77" spans="1:7" ht="18.75" customHeight="1" x14ac:dyDescent="0.3">
      <c r="A77" s="58"/>
      <c r="B77" s="121"/>
      <c r="C77" s="57"/>
      <c r="D77" s="57"/>
      <c r="E77" s="57"/>
      <c r="F77" s="57"/>
      <c r="G77" s="124"/>
    </row>
    <row r="78" spans="1:7" ht="18.75" customHeight="1" x14ac:dyDescent="0.3">
      <c r="A78" s="124"/>
      <c r="B78" s="289" t="s">
        <v>81</v>
      </c>
      <c r="C78" s="290"/>
      <c r="D78" s="57"/>
      <c r="E78" s="124"/>
      <c r="F78" s="124"/>
      <c r="G78" s="124"/>
    </row>
    <row r="79" spans="1:7" ht="18.75" customHeight="1" x14ac:dyDescent="0.3">
      <c r="A79" s="124"/>
      <c r="B79" s="157" t="s">
        <v>82</v>
      </c>
      <c r="C79" s="158">
        <f>G70</f>
        <v>93.767745674490101</v>
      </c>
      <c r="D79" s="57"/>
      <c r="E79" s="124"/>
      <c r="F79" s="124"/>
      <c r="G79" s="124"/>
    </row>
    <row r="80" spans="1:7" ht="26.25" customHeight="1" x14ac:dyDescent="0.4">
      <c r="A80" s="124"/>
      <c r="B80" s="157" t="s">
        <v>83</v>
      </c>
      <c r="C80" s="159">
        <v>2.4</v>
      </c>
      <c r="D80" s="57"/>
      <c r="E80" s="124"/>
      <c r="F80" s="124"/>
      <c r="G80" s="124"/>
    </row>
    <row r="81" spans="1:7" ht="18.75" customHeight="1" x14ac:dyDescent="0.3">
      <c r="A81" s="124"/>
      <c r="B81" s="157" t="s">
        <v>84</v>
      </c>
      <c r="C81" s="158">
        <f>STDEV(G59:G68)</f>
        <v>2.1871873903376127</v>
      </c>
      <c r="D81" s="57"/>
      <c r="E81" s="124"/>
      <c r="F81" s="124"/>
      <c r="G81" s="124"/>
    </row>
    <row r="82" spans="1:7" ht="18.75" customHeight="1" x14ac:dyDescent="0.3">
      <c r="A82" s="124"/>
      <c r="B82" s="157" t="s">
        <v>85</v>
      </c>
      <c r="C82" s="158">
        <f>IF(OR(G70&lt;98.5,G70&gt;101.5),(IF(98.5&gt;G70,98.5,101.5)),C79)</f>
        <v>98.5</v>
      </c>
      <c r="D82" s="57"/>
      <c r="E82" s="124"/>
      <c r="F82" s="124"/>
      <c r="G82" s="124"/>
    </row>
    <row r="83" spans="1:7" ht="18.75" customHeight="1" x14ac:dyDescent="0.3">
      <c r="A83" s="124"/>
      <c r="B83" s="157" t="s">
        <v>109</v>
      </c>
      <c r="C83" s="160">
        <f>ABS(C82-C79)+(C80*C81)</f>
        <v>9.9815040623201696</v>
      </c>
      <c r="D83" s="57"/>
      <c r="E83" s="124"/>
      <c r="F83" s="124"/>
      <c r="G83" s="124"/>
    </row>
    <row r="84" spans="1:7" ht="18.75" customHeight="1" x14ac:dyDescent="0.3">
      <c r="A84" s="122"/>
      <c r="B84" s="161"/>
      <c r="C84" s="57"/>
      <c r="D84" s="57"/>
      <c r="E84" s="57"/>
      <c r="F84" s="57"/>
      <c r="G84" s="57"/>
    </row>
    <row r="85" spans="1:7" ht="18.75" customHeight="1" x14ac:dyDescent="0.3">
      <c r="A85" s="66" t="s">
        <v>86</v>
      </c>
      <c r="B85" s="66" t="s">
        <v>87</v>
      </c>
      <c r="C85" s="57"/>
      <c r="D85" s="57"/>
      <c r="E85" s="57"/>
      <c r="F85" s="57"/>
      <c r="G85" s="57"/>
    </row>
    <row r="86" spans="1:7" ht="18.75" customHeight="1" x14ac:dyDescent="0.3">
      <c r="A86" s="66"/>
      <c r="B86" s="66"/>
      <c r="C86" s="57"/>
      <c r="D86" s="57"/>
      <c r="E86" s="57"/>
      <c r="F86" s="57"/>
      <c r="G86" s="57"/>
    </row>
    <row r="87" spans="1:7" ht="26.25" customHeight="1" x14ac:dyDescent="0.4">
      <c r="A87" s="67" t="s">
        <v>4</v>
      </c>
      <c r="B87" s="268"/>
      <c r="C87" s="268"/>
      <c r="D87" s="57"/>
      <c r="E87" s="57"/>
      <c r="F87" s="57"/>
      <c r="G87" s="57"/>
    </row>
    <row r="88" spans="1:7" ht="26.25" customHeight="1" x14ac:dyDescent="0.4">
      <c r="A88" s="68" t="s">
        <v>40</v>
      </c>
      <c r="B88" s="275"/>
      <c r="C88" s="275"/>
      <c r="D88" s="57"/>
      <c r="E88" s="57"/>
      <c r="F88" s="57"/>
      <c r="G88" s="57"/>
    </row>
    <row r="89" spans="1:7" ht="27" customHeight="1" thickBot="1" x14ac:dyDescent="0.45">
      <c r="A89" s="68" t="s">
        <v>6</v>
      </c>
      <c r="B89" s="69">
        <f>B32</f>
        <v>1</v>
      </c>
      <c r="C89" s="57"/>
      <c r="D89" s="57"/>
      <c r="E89" s="57"/>
      <c r="F89" s="57"/>
      <c r="G89" s="57"/>
    </row>
    <row r="90" spans="1:7" ht="27" customHeight="1" thickBot="1" x14ac:dyDescent="0.45">
      <c r="A90" s="68" t="s">
        <v>41</v>
      </c>
      <c r="B90" s="69">
        <f>B33</f>
        <v>0</v>
      </c>
      <c r="C90" s="292" t="s">
        <v>88</v>
      </c>
      <c r="D90" s="293"/>
      <c r="E90" s="293"/>
      <c r="F90" s="293"/>
      <c r="G90" s="294"/>
    </row>
    <row r="91" spans="1:7" ht="18.75" customHeight="1" x14ac:dyDescent="0.3">
      <c r="A91" s="68" t="s">
        <v>43</v>
      </c>
      <c r="B91" s="71">
        <f>B89-B90</f>
        <v>1</v>
      </c>
      <c r="C91" s="72"/>
      <c r="D91" s="72"/>
      <c r="E91" s="72"/>
      <c r="F91" s="72"/>
      <c r="G91" s="162"/>
    </row>
    <row r="92" spans="1:7" ht="19.5" customHeight="1" thickBot="1" x14ac:dyDescent="0.35">
      <c r="A92" s="68"/>
      <c r="B92" s="71"/>
      <c r="C92" s="72"/>
      <c r="D92" s="72"/>
      <c r="E92" s="72"/>
      <c r="F92" s="72"/>
      <c r="G92" s="162"/>
    </row>
    <row r="93" spans="1:7" ht="27" customHeight="1" thickBot="1" x14ac:dyDescent="0.45">
      <c r="A93" s="68" t="s">
        <v>44</v>
      </c>
      <c r="B93" s="73">
        <v>1</v>
      </c>
      <c r="C93" s="276" t="s">
        <v>89</v>
      </c>
      <c r="D93" s="277"/>
      <c r="E93" s="277"/>
      <c r="F93" s="277"/>
      <c r="G93" s="277"/>
    </row>
    <row r="94" spans="1:7" ht="27" customHeight="1" thickBot="1" x14ac:dyDescent="0.45">
      <c r="A94" s="68" t="s">
        <v>46</v>
      </c>
      <c r="B94" s="73">
        <v>1</v>
      </c>
      <c r="C94" s="276" t="s">
        <v>90</v>
      </c>
      <c r="D94" s="277"/>
      <c r="E94" s="277"/>
      <c r="F94" s="277"/>
      <c r="G94" s="277"/>
    </row>
    <row r="95" spans="1:7" ht="18.75" customHeight="1" x14ac:dyDescent="0.3">
      <c r="A95" s="68"/>
      <c r="B95" s="74"/>
      <c r="C95" s="75"/>
      <c r="D95" s="75"/>
      <c r="E95" s="75"/>
      <c r="F95" s="75"/>
      <c r="G95" s="75"/>
    </row>
    <row r="96" spans="1:7" ht="18.75" customHeight="1" x14ac:dyDescent="0.3">
      <c r="A96" s="68" t="s">
        <v>48</v>
      </c>
      <c r="B96" s="76">
        <f>B93/B94</f>
        <v>1</v>
      </c>
      <c r="C96" s="57" t="s">
        <v>49</v>
      </c>
      <c r="D96" s="57"/>
      <c r="E96" s="57"/>
      <c r="F96" s="57"/>
      <c r="G96" s="57"/>
    </row>
    <row r="97" spans="1:7" ht="19.5" customHeight="1" thickBot="1" x14ac:dyDescent="0.35">
      <c r="A97" s="66"/>
      <c r="B97" s="66"/>
      <c r="C97" s="57"/>
      <c r="D97" s="57"/>
      <c r="E97" s="57"/>
      <c r="F97" s="57"/>
      <c r="G97" s="57"/>
    </row>
    <row r="98" spans="1:7" ht="27" customHeight="1" thickBot="1" x14ac:dyDescent="0.45">
      <c r="A98" s="78" t="s">
        <v>50</v>
      </c>
      <c r="B98" s="163">
        <v>1</v>
      </c>
      <c r="C98" s="57"/>
      <c r="D98" s="164" t="s">
        <v>51</v>
      </c>
      <c r="E98" s="165"/>
      <c r="F98" s="279" t="s">
        <v>52</v>
      </c>
      <c r="G98" s="281"/>
    </row>
    <row r="99" spans="1:7" ht="26.25" customHeight="1" x14ac:dyDescent="0.4">
      <c r="A99" s="80" t="s">
        <v>99</v>
      </c>
      <c r="B99" s="166">
        <v>1</v>
      </c>
      <c r="C99" s="82" t="s">
        <v>53</v>
      </c>
      <c r="D99" s="83" t="s">
        <v>54</v>
      </c>
      <c r="E99" s="84" t="s">
        <v>55</v>
      </c>
      <c r="F99" s="83" t="s">
        <v>54</v>
      </c>
      <c r="G99" s="85" t="s">
        <v>55</v>
      </c>
    </row>
    <row r="100" spans="1:7" ht="26.25" customHeight="1" x14ac:dyDescent="0.4">
      <c r="A100" s="80" t="s">
        <v>100</v>
      </c>
      <c r="B100" s="166">
        <v>1</v>
      </c>
      <c r="C100" s="86">
        <v>1</v>
      </c>
      <c r="D100" s="87"/>
      <c r="E100" s="167" t="str">
        <f>IF(ISBLANK(D100),"-",$D$110/$D$107*D100)</f>
        <v>-</v>
      </c>
      <c r="F100" s="168"/>
      <c r="G100" s="89" t="str">
        <f>IF(ISBLANK(F100),"-",$D$110/$F$107*F100)</f>
        <v>-</v>
      </c>
    </row>
    <row r="101" spans="1:7" ht="26.25" customHeight="1" x14ac:dyDescent="0.4">
      <c r="A101" s="80" t="s">
        <v>101</v>
      </c>
      <c r="B101" s="166">
        <v>1</v>
      </c>
      <c r="C101" s="90">
        <v>2</v>
      </c>
      <c r="D101" s="91"/>
      <c r="E101" s="169" t="str">
        <f>IF(ISBLANK(D101),"-",$D$110/$D$107*D101)</f>
        <v>-</v>
      </c>
      <c r="F101" s="69"/>
      <c r="G101" s="93" t="str">
        <f>IF(ISBLANK(F101),"-",$D$110/$F$107*F101)</f>
        <v>-</v>
      </c>
    </row>
    <row r="102" spans="1:7" ht="26.25" customHeight="1" x14ac:dyDescent="0.4">
      <c r="A102" s="80" t="s">
        <v>102</v>
      </c>
      <c r="B102" s="166">
        <v>1</v>
      </c>
      <c r="C102" s="90">
        <v>3</v>
      </c>
      <c r="D102" s="91"/>
      <c r="E102" s="169" t="str">
        <f>IF(ISBLANK(D102),"-",$D$110/$D$107*D102)</f>
        <v>-</v>
      </c>
      <c r="F102" s="170"/>
      <c r="G102" s="93" t="str">
        <f>IF(ISBLANK(F102),"-",$D$110/$F$107*F102)</f>
        <v>-</v>
      </c>
    </row>
    <row r="103" spans="1:7" ht="26.25" customHeight="1" x14ac:dyDescent="0.4">
      <c r="A103" s="80" t="s">
        <v>103</v>
      </c>
      <c r="B103" s="166">
        <v>1</v>
      </c>
      <c r="C103" s="94">
        <v>4</v>
      </c>
      <c r="D103" s="95"/>
      <c r="E103" s="171" t="str">
        <f>IF(ISBLANK(D103),"-",$D$110/$D$107*D103)</f>
        <v>-</v>
      </c>
      <c r="F103" s="172"/>
      <c r="G103" s="97" t="str">
        <f>IF(ISBLANK(F103),"-",$D$110/$F$107*F103)</f>
        <v>-</v>
      </c>
    </row>
    <row r="104" spans="1:7" ht="27" customHeight="1" thickBot="1" x14ac:dyDescent="0.45">
      <c r="A104" s="80" t="s">
        <v>104</v>
      </c>
      <c r="B104" s="166">
        <v>1</v>
      </c>
      <c r="C104" s="98" t="s">
        <v>56</v>
      </c>
      <c r="D104" s="173" t="e">
        <f>AVERAGE(D100:D103)</f>
        <v>#DIV/0!</v>
      </c>
      <c r="E104" s="100" t="e">
        <f>AVERAGE(E100:E103)</f>
        <v>#DIV/0!</v>
      </c>
      <c r="F104" s="173" t="e">
        <f>AVERAGE(F100:F103)</f>
        <v>#DIV/0!</v>
      </c>
      <c r="G104" s="174" t="e">
        <f>AVERAGE(G100:G103)</f>
        <v>#DIV/0!</v>
      </c>
    </row>
    <row r="105" spans="1:7" ht="26.25" customHeight="1" x14ac:dyDescent="0.4">
      <c r="A105" s="80" t="s">
        <v>105</v>
      </c>
      <c r="B105" s="166">
        <v>1</v>
      </c>
      <c r="C105" s="102" t="s">
        <v>57</v>
      </c>
      <c r="D105" s="175"/>
      <c r="E105" s="57"/>
      <c r="F105" s="103"/>
      <c r="G105" s="57"/>
    </row>
    <row r="106" spans="1:7" ht="26.25" customHeight="1" x14ac:dyDescent="0.4">
      <c r="A106" s="80" t="s">
        <v>106</v>
      </c>
      <c r="B106" s="166">
        <v>1</v>
      </c>
      <c r="C106" s="104" t="s">
        <v>58</v>
      </c>
      <c r="D106" s="176">
        <f>D105*$B$96</f>
        <v>0</v>
      </c>
      <c r="E106" s="106"/>
      <c r="F106" s="105">
        <f>F105*$B$96</f>
        <v>0</v>
      </c>
      <c r="G106" s="57"/>
    </row>
    <row r="107" spans="1:7" ht="19.5" customHeight="1" thickBot="1" x14ac:dyDescent="0.35">
      <c r="A107" s="80" t="s">
        <v>59</v>
      </c>
      <c r="B107" s="90">
        <f>(B106/B105)*(B104/B103)*(B102/B101)*(B100/B99)*B98</f>
        <v>1</v>
      </c>
      <c r="C107" s="104" t="s">
        <v>60</v>
      </c>
      <c r="D107" s="177">
        <f>D106*$B$91/100</f>
        <v>0</v>
      </c>
      <c r="E107" s="109"/>
      <c r="F107" s="108">
        <f>F106*$B$91/100</f>
        <v>0</v>
      </c>
      <c r="G107" s="57"/>
    </row>
    <row r="108" spans="1:7" ht="19.5" customHeight="1" thickBot="1" x14ac:dyDescent="0.35">
      <c r="A108" s="282" t="s">
        <v>61</v>
      </c>
      <c r="B108" s="283"/>
      <c r="C108" s="104" t="s">
        <v>62</v>
      </c>
      <c r="D108" s="176">
        <f>D107/$B$107</f>
        <v>0</v>
      </c>
      <c r="E108" s="109"/>
      <c r="F108" s="110">
        <f>F107/$B$107</f>
        <v>0</v>
      </c>
      <c r="G108" s="178"/>
    </row>
    <row r="109" spans="1:7" ht="19.5" customHeight="1" thickBot="1" x14ac:dyDescent="0.35">
      <c r="A109" s="284"/>
      <c r="B109" s="285"/>
      <c r="C109" s="179" t="s">
        <v>63</v>
      </c>
      <c r="D109" s="180">
        <f>$B$56/$B$125</f>
        <v>0.03</v>
      </c>
      <c r="E109" s="57"/>
      <c r="F109" s="113"/>
      <c r="G109" s="181"/>
    </row>
    <row r="110" spans="1:7" ht="18.75" customHeight="1" x14ac:dyDescent="0.3">
      <c r="A110" s="57"/>
      <c r="B110" s="57"/>
      <c r="C110" s="182" t="s">
        <v>64</v>
      </c>
      <c r="D110" s="176">
        <f>D109*$B$107</f>
        <v>0.03</v>
      </c>
      <c r="E110" s="57"/>
      <c r="F110" s="113"/>
      <c r="G110" s="178"/>
    </row>
    <row r="111" spans="1:7" ht="19.5" customHeight="1" thickBot="1" x14ac:dyDescent="0.35">
      <c r="A111" s="57"/>
      <c r="B111" s="57"/>
      <c r="C111" s="183" t="s">
        <v>65</v>
      </c>
      <c r="D111" s="184">
        <f>D110/B96</f>
        <v>0.03</v>
      </c>
      <c r="E111" s="57"/>
      <c r="F111" s="117"/>
      <c r="G111" s="178"/>
    </row>
    <row r="112" spans="1:7" ht="18.75" customHeight="1" x14ac:dyDescent="0.3">
      <c r="A112" s="57"/>
      <c r="B112" s="57"/>
      <c r="C112" s="185" t="s">
        <v>66</v>
      </c>
      <c r="D112" s="186" t="e">
        <f>AVERAGE(E100:E103,G100:G103)</f>
        <v>#DIV/0!</v>
      </c>
      <c r="E112" s="57"/>
      <c r="F112" s="117"/>
      <c r="G112" s="181"/>
    </row>
    <row r="113" spans="1:7" ht="18.75" customHeight="1" x14ac:dyDescent="0.3">
      <c r="A113" s="57"/>
      <c r="B113" s="57"/>
      <c r="C113" s="187" t="s">
        <v>67</v>
      </c>
      <c r="D113" s="188" t="e">
        <f>STDEV(E100:E103,G100:G103)/D112</f>
        <v>#DIV/0!</v>
      </c>
      <c r="E113" s="57"/>
      <c r="F113" s="117"/>
      <c r="G113" s="178"/>
    </row>
    <row r="114" spans="1:7" ht="19.5" customHeight="1" thickBot="1" x14ac:dyDescent="0.35">
      <c r="A114" s="57"/>
      <c r="B114" s="57"/>
      <c r="C114" s="189" t="s">
        <v>19</v>
      </c>
      <c r="D114" s="190">
        <f>COUNT(E100:E103,G100:G103)</f>
        <v>0</v>
      </c>
      <c r="E114" s="57"/>
      <c r="F114" s="117"/>
      <c r="G114" s="178"/>
    </row>
    <row r="115" spans="1:7" ht="19.5" customHeight="1" thickBot="1" x14ac:dyDescent="0.35">
      <c r="A115" s="58"/>
      <c r="B115" s="58"/>
      <c r="C115" s="58"/>
      <c r="D115" s="58"/>
      <c r="E115" s="58"/>
      <c r="F115" s="57"/>
      <c r="G115" s="57"/>
    </row>
    <row r="116" spans="1:7" ht="26.25" customHeight="1" x14ac:dyDescent="0.4">
      <c r="A116" s="78" t="s">
        <v>91</v>
      </c>
      <c r="B116" s="163">
        <v>1</v>
      </c>
      <c r="C116" s="164" t="s">
        <v>92</v>
      </c>
      <c r="D116" s="191" t="s">
        <v>54</v>
      </c>
      <c r="E116" s="192" t="s">
        <v>93</v>
      </c>
      <c r="F116" s="193" t="s">
        <v>94</v>
      </c>
      <c r="G116" s="57"/>
    </row>
    <row r="117" spans="1:7" ht="26.25" customHeight="1" x14ac:dyDescent="0.4">
      <c r="A117" s="80" t="s">
        <v>110</v>
      </c>
      <c r="B117" s="166">
        <v>1</v>
      </c>
      <c r="C117" s="135">
        <v>1</v>
      </c>
      <c r="D117" s="194"/>
      <c r="E117" s="132" t="str">
        <f t="shared" ref="E117:E122" si="3">IF(ISBLANK(D117),"-",D117/$D$112*$D$109*$B$125)</f>
        <v>-</v>
      </c>
      <c r="F117" s="195" t="str">
        <f t="shared" ref="F117:F122" si="4">IF(ISBLANK(D117), "-", E117/$B$56)</f>
        <v>-</v>
      </c>
      <c r="G117" s="57"/>
    </row>
    <row r="118" spans="1:7" ht="26.25" customHeight="1" x14ac:dyDescent="0.4">
      <c r="A118" s="80" t="s">
        <v>111</v>
      </c>
      <c r="B118" s="166">
        <v>1</v>
      </c>
      <c r="C118" s="135">
        <v>2</v>
      </c>
      <c r="D118" s="194"/>
      <c r="E118" s="137" t="str">
        <f t="shared" si="3"/>
        <v>-</v>
      </c>
      <c r="F118" s="196" t="str">
        <f t="shared" si="4"/>
        <v>-</v>
      </c>
      <c r="G118" s="57"/>
    </row>
    <row r="119" spans="1:7" ht="26.25" customHeight="1" x14ac:dyDescent="0.4">
      <c r="A119" s="80" t="s">
        <v>112</v>
      </c>
      <c r="B119" s="166">
        <v>1</v>
      </c>
      <c r="C119" s="135">
        <v>3</v>
      </c>
      <c r="D119" s="194"/>
      <c r="E119" s="137" t="str">
        <f t="shared" si="3"/>
        <v>-</v>
      </c>
      <c r="F119" s="196" t="str">
        <f t="shared" si="4"/>
        <v>-</v>
      </c>
      <c r="G119" s="57"/>
    </row>
    <row r="120" spans="1:7" ht="26.25" customHeight="1" x14ac:dyDescent="0.4">
      <c r="A120" s="80" t="s">
        <v>113</v>
      </c>
      <c r="B120" s="166">
        <v>1</v>
      </c>
      <c r="C120" s="135">
        <v>4</v>
      </c>
      <c r="D120" s="194"/>
      <c r="E120" s="137" t="str">
        <f t="shared" si="3"/>
        <v>-</v>
      </c>
      <c r="F120" s="196" t="str">
        <f t="shared" si="4"/>
        <v>-</v>
      </c>
      <c r="G120" s="57"/>
    </row>
    <row r="121" spans="1:7" ht="26.25" customHeight="1" x14ac:dyDescent="0.4">
      <c r="A121" s="80" t="s">
        <v>114</v>
      </c>
      <c r="B121" s="166">
        <v>1</v>
      </c>
      <c r="C121" s="135">
        <v>5</v>
      </c>
      <c r="D121" s="194"/>
      <c r="E121" s="137" t="str">
        <f t="shared" si="3"/>
        <v>-</v>
      </c>
      <c r="F121" s="196" t="str">
        <f t="shared" si="4"/>
        <v>-</v>
      </c>
      <c r="G121" s="57"/>
    </row>
    <row r="122" spans="1:7" ht="26.25" customHeight="1" x14ac:dyDescent="0.4">
      <c r="A122" s="80" t="s">
        <v>115</v>
      </c>
      <c r="B122" s="166">
        <v>1</v>
      </c>
      <c r="C122" s="197">
        <v>6</v>
      </c>
      <c r="D122" s="198"/>
      <c r="E122" s="199" t="str">
        <f t="shared" si="3"/>
        <v>-</v>
      </c>
      <c r="F122" s="200" t="str">
        <f t="shared" si="4"/>
        <v>-</v>
      </c>
      <c r="G122" s="57"/>
    </row>
    <row r="123" spans="1:7" ht="26.25" customHeight="1" x14ac:dyDescent="0.4">
      <c r="A123" s="80" t="s">
        <v>116</v>
      </c>
      <c r="B123" s="166">
        <v>1</v>
      </c>
      <c r="C123" s="135"/>
      <c r="D123" s="106"/>
      <c r="E123" s="57"/>
      <c r="F123" s="139"/>
      <c r="G123" s="57"/>
    </row>
    <row r="124" spans="1:7" ht="26.25" customHeight="1" x14ac:dyDescent="0.4">
      <c r="A124" s="80" t="s">
        <v>117</v>
      </c>
      <c r="B124" s="166">
        <v>1</v>
      </c>
      <c r="C124" s="135"/>
      <c r="D124" s="201"/>
      <c r="E124" s="202" t="s">
        <v>56</v>
      </c>
      <c r="F124" s="203" t="e">
        <f>AVERAGE(F117:F122)</f>
        <v>#DIV/0!</v>
      </c>
      <c r="G124" s="57"/>
    </row>
    <row r="125" spans="1:7" ht="27" customHeight="1" thickBot="1" x14ac:dyDescent="0.45">
      <c r="A125" s="80" t="s">
        <v>95</v>
      </c>
      <c r="B125" s="90">
        <f>(B124/B123)*(B122/B121)*(B120/B119)*(B118/B117)*B116</f>
        <v>1</v>
      </c>
      <c r="C125" s="204"/>
      <c r="D125" s="205"/>
      <c r="E125" s="68" t="s">
        <v>67</v>
      </c>
      <c r="F125" s="150" t="e">
        <f>STDEV(F117:F122)/F124</f>
        <v>#DIV/0!</v>
      </c>
      <c r="G125" s="57"/>
    </row>
    <row r="126" spans="1:7" ht="27" customHeight="1" thickBot="1" x14ac:dyDescent="0.45">
      <c r="A126" s="282" t="s">
        <v>61</v>
      </c>
      <c r="B126" s="283"/>
      <c r="C126" s="206"/>
      <c r="D126" s="207"/>
      <c r="E126" s="208" t="s">
        <v>19</v>
      </c>
      <c r="F126" s="209">
        <f>COUNT(F117:F122)</f>
        <v>0</v>
      </c>
      <c r="G126" s="57"/>
    </row>
    <row r="127" spans="1:7" ht="19.5" customHeight="1" thickBot="1" x14ac:dyDescent="0.35">
      <c r="A127" s="284"/>
      <c r="B127" s="285"/>
      <c r="C127" s="57"/>
      <c r="D127" s="57"/>
      <c r="E127" s="57"/>
      <c r="F127" s="106"/>
      <c r="G127" s="57"/>
    </row>
    <row r="128" spans="1:7" ht="18.75" customHeight="1" x14ac:dyDescent="0.3">
      <c r="A128" s="75"/>
      <c r="B128" s="75"/>
      <c r="C128" s="57"/>
      <c r="D128" s="57"/>
      <c r="E128" s="57"/>
      <c r="F128" s="106"/>
      <c r="G128" s="57"/>
    </row>
    <row r="129" spans="1:7" ht="18.75" customHeight="1" x14ac:dyDescent="0.3">
      <c r="A129" s="67" t="s">
        <v>77</v>
      </c>
      <c r="B129" s="68" t="s">
        <v>96</v>
      </c>
      <c r="C129" s="288" t="str">
        <f>B20</f>
        <v xml:space="preserve">Desogestral,
Ethnylestradiol </v>
      </c>
      <c r="D129" s="288"/>
      <c r="E129" s="57" t="s">
        <v>97</v>
      </c>
      <c r="F129" s="57"/>
      <c r="G129" s="156" t="e">
        <f>F124</f>
        <v>#DIV/0!</v>
      </c>
    </row>
    <row r="130" spans="1:7" ht="19.5" customHeight="1" thickBot="1" x14ac:dyDescent="0.35">
      <c r="A130" s="210"/>
      <c r="B130" s="210"/>
      <c r="C130" s="211"/>
      <c r="D130" s="211"/>
      <c r="E130" s="211"/>
      <c r="F130" s="211"/>
      <c r="G130" s="211"/>
    </row>
    <row r="131" spans="1:7" ht="18.75" customHeight="1" x14ac:dyDescent="0.3">
      <c r="A131" s="57"/>
      <c r="B131" s="291" t="s">
        <v>25</v>
      </c>
      <c r="C131" s="291"/>
      <c r="D131" s="57"/>
      <c r="E131" s="212" t="s">
        <v>26</v>
      </c>
      <c r="F131" s="213"/>
      <c r="G131" s="212" t="s">
        <v>27</v>
      </c>
    </row>
    <row r="132" spans="1:7" ht="60" customHeight="1" x14ac:dyDescent="0.3">
      <c r="A132" s="67" t="s">
        <v>28</v>
      </c>
      <c r="B132" s="214"/>
      <c r="C132" s="214"/>
      <c r="D132" s="57"/>
      <c r="E132" s="214"/>
      <c r="F132" s="57"/>
      <c r="G132" s="214"/>
    </row>
    <row r="133" spans="1:7" ht="60" customHeight="1" x14ac:dyDescent="0.3">
      <c r="A133" s="67" t="s">
        <v>29</v>
      </c>
      <c r="B133" s="215"/>
      <c r="C133" s="215"/>
      <c r="D133" s="57"/>
      <c r="E133" s="215"/>
      <c r="F133" s="57"/>
      <c r="G133" s="216"/>
    </row>
    <row r="250" spans="1:1" x14ac:dyDescent="0.2">
      <c r="A250" s="56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1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</vt:lpstr>
      <vt:lpstr>SST ethinyl</vt:lpstr>
      <vt:lpstr>Desogestrel</vt:lpstr>
      <vt:lpstr>Ethinyl estradiol 2</vt:lpstr>
      <vt:lpstr>Desogestrel!Print_Area</vt:lpstr>
      <vt:lpstr>'Ethinyl estradiol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2016-07-08T13:29:46Z</cp:lastPrinted>
  <dcterms:created xsi:type="dcterms:W3CDTF">2005-07-05T10:19:27Z</dcterms:created>
  <dcterms:modified xsi:type="dcterms:W3CDTF">2016-08-09T11:43:20Z</dcterms:modified>
  <cp:category/>
</cp:coreProperties>
</file>