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30" windowHeight="10680" activeTab="5"/>
  </bookViews>
  <sheets>
    <sheet name="Uniformity" sheetId="2" r:id="rId1"/>
    <sheet name="sst paracetamol" sheetId="1" r:id="rId2"/>
    <sheet name="sst caffeine" sheetId="6" r:id="rId3"/>
    <sheet name="Paracetamol Assay" sheetId="5" r:id="rId4"/>
    <sheet name="Caffeine assay" sheetId="8" r:id="rId5"/>
    <sheet name="PARACETAMOL" sheetId="3" r:id="rId6"/>
    <sheet name="CAFFEINE" sheetId="4" r:id="rId7"/>
  </sheets>
  <definedNames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C124" i="8" l="1"/>
  <c r="B116" i="8"/>
  <c r="D100" i="8" s="1"/>
  <c r="B98" i="8"/>
  <c r="F97" i="8"/>
  <c r="D97" i="8"/>
  <c r="D98" i="8" s="1"/>
  <c r="F95" i="8"/>
  <c r="D95" i="8"/>
  <c r="I92" i="8" s="1"/>
  <c r="G94" i="8"/>
  <c r="E94" i="8"/>
  <c r="B87" i="8"/>
  <c r="B83" i="8"/>
  <c r="C76" i="8"/>
  <c r="H71" i="8"/>
  <c r="G71" i="8"/>
  <c r="B68" i="8"/>
  <c r="B69" i="8" s="1"/>
  <c r="H67" i="8"/>
  <c r="G67" i="8"/>
  <c r="H63" i="8"/>
  <c r="G63" i="8"/>
  <c r="B57" i="8"/>
  <c r="C56" i="8"/>
  <c r="B55" i="8"/>
  <c r="D45" i="8"/>
  <c r="B45" i="8"/>
  <c r="D48" i="8" s="1"/>
  <c r="F44" i="8"/>
  <c r="F45" i="8" s="1"/>
  <c r="D44" i="8"/>
  <c r="F42" i="8"/>
  <c r="D42" i="8"/>
  <c r="I39" i="8" s="1"/>
  <c r="G41" i="8"/>
  <c r="E41" i="8"/>
  <c r="B34" i="8"/>
  <c r="B30" i="8"/>
  <c r="B57" i="5"/>
  <c r="B21" i="6"/>
  <c r="B53" i="6"/>
  <c r="E51" i="6"/>
  <c r="D51" i="6"/>
  <c r="C51" i="6"/>
  <c r="B51" i="6"/>
  <c r="B52" i="6" s="1"/>
  <c r="B32" i="6"/>
  <c r="E30" i="6"/>
  <c r="D30" i="6"/>
  <c r="C30" i="6"/>
  <c r="B30" i="6"/>
  <c r="B31" i="6" s="1"/>
  <c r="B21" i="1"/>
  <c r="C124" i="5"/>
  <c r="B116" i="5"/>
  <c r="D100" i="5" s="1"/>
  <c r="B98" i="5"/>
  <c r="D97" i="5"/>
  <c r="F95" i="5"/>
  <c r="D95" i="5"/>
  <c r="B87" i="5"/>
  <c r="F97" i="5" s="1"/>
  <c r="B81" i="5"/>
  <c r="B83" i="5" s="1"/>
  <c r="B80" i="5"/>
  <c r="B79" i="5"/>
  <c r="C76" i="5"/>
  <c r="B68" i="5"/>
  <c r="B69" i="5" s="1"/>
  <c r="C56" i="5"/>
  <c r="B55" i="5"/>
  <c r="B45" i="5"/>
  <c r="D48" i="5" s="1"/>
  <c r="F42" i="5"/>
  <c r="D42" i="5"/>
  <c r="B34" i="5"/>
  <c r="F44" i="5" s="1"/>
  <c r="B30" i="5"/>
  <c r="C129" i="4"/>
  <c r="B125" i="4"/>
  <c r="D109" i="4" s="1"/>
  <c r="E122" i="4"/>
  <c r="F122" i="4" s="1"/>
  <c r="E121" i="4"/>
  <c r="F121" i="4" s="1"/>
  <c r="E120" i="4"/>
  <c r="F120" i="4" s="1"/>
  <c r="F119" i="4"/>
  <c r="E119" i="4"/>
  <c r="E118" i="4"/>
  <c r="F118" i="4" s="1"/>
  <c r="E117" i="4"/>
  <c r="F117" i="4" s="1"/>
  <c r="B107" i="4"/>
  <c r="F104" i="4"/>
  <c r="D104" i="4"/>
  <c r="G103" i="4"/>
  <c r="E103" i="4"/>
  <c r="B96" i="4"/>
  <c r="D106" i="4" s="1"/>
  <c r="B90" i="4"/>
  <c r="B91" i="4"/>
  <c r="C74" i="4"/>
  <c r="B67" i="4"/>
  <c r="C56" i="4"/>
  <c r="B55" i="4"/>
  <c r="B45" i="4"/>
  <c r="D48" i="4" s="1"/>
  <c r="D49" i="4" s="1"/>
  <c r="F44" i="4"/>
  <c r="F42" i="4"/>
  <c r="D42" i="4"/>
  <c r="G41" i="4"/>
  <c r="E41" i="4"/>
  <c r="B34" i="4"/>
  <c r="D44" i="4" s="1"/>
  <c r="B30" i="4"/>
  <c r="C43" i="3"/>
  <c r="C41" i="3"/>
  <c r="C42" i="3" s="1"/>
  <c r="C27" i="3"/>
  <c r="C49" i="2"/>
  <c r="C46" i="2"/>
  <c r="D50" i="2" s="1"/>
  <c r="C45" i="2"/>
  <c r="D43" i="2"/>
  <c r="D39" i="2"/>
  <c r="D35" i="2"/>
  <c r="D31" i="2"/>
  <c r="D27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8" i="8" l="1"/>
  <c r="F99" i="8" s="1"/>
  <c r="D101" i="8"/>
  <c r="G91" i="8" s="1"/>
  <c r="F46" i="8"/>
  <c r="G39" i="8"/>
  <c r="E38" i="8"/>
  <c r="D46" i="8"/>
  <c r="D99" i="8"/>
  <c r="G38" i="8"/>
  <c r="G93" i="8"/>
  <c r="G40" i="8"/>
  <c r="E40" i="8"/>
  <c r="D49" i="8"/>
  <c r="E39" i="8"/>
  <c r="D110" i="4"/>
  <c r="D111" i="4" s="1"/>
  <c r="F124" i="4"/>
  <c r="F125" i="4" s="1"/>
  <c r="F126" i="4"/>
  <c r="D45" i="4"/>
  <c r="F45" i="4"/>
  <c r="D34" i="3"/>
  <c r="D36" i="3"/>
  <c r="D31" i="3"/>
  <c r="D37" i="3"/>
  <c r="D32" i="3"/>
  <c r="D39" i="3"/>
  <c r="I92" i="5"/>
  <c r="D101" i="5"/>
  <c r="D102" i="5" s="1"/>
  <c r="I39" i="5"/>
  <c r="F45" i="5"/>
  <c r="F46" i="5" s="1"/>
  <c r="D98" i="5"/>
  <c r="D49" i="5"/>
  <c r="F98" i="5"/>
  <c r="D107" i="4"/>
  <c r="F106" i="4"/>
  <c r="F107" i="4" s="1"/>
  <c r="D24" i="2"/>
  <c r="D28" i="2"/>
  <c r="D32" i="2"/>
  <c r="D36" i="2"/>
  <c r="D40" i="2"/>
  <c r="D49" i="2"/>
  <c r="D30" i="3"/>
  <c r="D33" i="3"/>
  <c r="D35" i="3"/>
  <c r="D38" i="3"/>
  <c r="D44" i="5"/>
  <c r="D45" i="5" s="1"/>
  <c r="D46" i="5" s="1"/>
  <c r="D25" i="2"/>
  <c r="D29" i="2"/>
  <c r="D33" i="2"/>
  <c r="D37" i="2"/>
  <c r="D41" i="2"/>
  <c r="C50" i="2"/>
  <c r="D26" i="2"/>
  <c r="D30" i="2"/>
  <c r="D34" i="2"/>
  <c r="D38" i="2"/>
  <c r="D42" i="2"/>
  <c r="B49" i="2"/>
  <c r="G92" i="8" l="1"/>
  <c r="E92" i="8"/>
  <c r="E91" i="8"/>
  <c r="E93" i="8"/>
  <c r="D102" i="8"/>
  <c r="D52" i="8"/>
  <c r="D50" i="8"/>
  <c r="G70" i="8" s="1"/>
  <c r="H70" i="8" s="1"/>
  <c r="E42" i="8"/>
  <c r="G42" i="8"/>
  <c r="G129" i="4"/>
  <c r="F108" i="4"/>
  <c r="G101" i="4"/>
  <c r="G100" i="4"/>
  <c r="G102" i="4"/>
  <c r="D108" i="4"/>
  <c r="E101" i="4"/>
  <c r="E102" i="4"/>
  <c r="E100" i="4"/>
  <c r="F46" i="4"/>
  <c r="G40" i="4"/>
  <c r="G39" i="4"/>
  <c r="G38" i="4"/>
  <c r="D46" i="4"/>
  <c r="E40" i="4"/>
  <c r="E38" i="4"/>
  <c r="E39" i="4"/>
  <c r="G93" i="5"/>
  <c r="E94" i="5"/>
  <c r="G39" i="5"/>
  <c r="G38" i="5"/>
  <c r="E40" i="5"/>
  <c r="G94" i="5"/>
  <c r="E41" i="5"/>
  <c r="G92" i="5"/>
  <c r="G41" i="5"/>
  <c r="G40" i="5"/>
  <c r="G33" i="3"/>
  <c r="D41" i="3"/>
  <c r="D43" i="3"/>
  <c r="D99" i="5"/>
  <c r="E93" i="5"/>
  <c r="E92" i="5"/>
  <c r="E38" i="5"/>
  <c r="E91" i="5"/>
  <c r="F99" i="5"/>
  <c r="G91" i="5"/>
  <c r="E39" i="5"/>
  <c r="D103" i="8" l="1"/>
  <c r="E109" i="8" s="1"/>
  <c r="F109" i="8" s="1"/>
  <c r="D105" i="8"/>
  <c r="G95" i="8"/>
  <c r="E95" i="8"/>
  <c r="G62" i="8"/>
  <c r="H62" i="8" s="1"/>
  <c r="G61" i="8"/>
  <c r="H61" i="8" s="1"/>
  <c r="G69" i="8"/>
  <c r="H69" i="8" s="1"/>
  <c r="G65" i="8"/>
  <c r="H65" i="8" s="1"/>
  <c r="G60" i="8"/>
  <c r="H60" i="8" s="1"/>
  <c r="G66" i="8"/>
  <c r="H66" i="8" s="1"/>
  <c r="G64" i="8"/>
  <c r="H64" i="8" s="1"/>
  <c r="D51" i="8"/>
  <c r="G68" i="8"/>
  <c r="H68" i="8" s="1"/>
  <c r="E113" i="8"/>
  <c r="F113" i="8" s="1"/>
  <c r="E111" i="8"/>
  <c r="F111" i="8" s="1"/>
  <c r="E112" i="8"/>
  <c r="F112" i="8" s="1"/>
  <c r="E110" i="8"/>
  <c r="F110" i="8" s="1"/>
  <c r="G104" i="4"/>
  <c r="E104" i="4"/>
  <c r="D112" i="4"/>
  <c r="D113" i="4" s="1"/>
  <c r="D114" i="4"/>
  <c r="G42" i="4"/>
  <c r="D50" i="4"/>
  <c r="E42" i="4"/>
  <c r="D52" i="4"/>
  <c r="G42" i="5"/>
  <c r="G95" i="5"/>
  <c r="D50" i="5"/>
  <c r="E42" i="5"/>
  <c r="D52" i="5"/>
  <c r="G31" i="3"/>
  <c r="D42" i="3"/>
  <c r="G34" i="3"/>
  <c r="D103" i="5"/>
  <c r="E95" i="5"/>
  <c r="D105" i="5"/>
  <c r="D104" i="8" l="1"/>
  <c r="E108" i="8"/>
  <c r="E120" i="8" s="1"/>
  <c r="G72" i="8"/>
  <c r="G73" i="8" s="1"/>
  <c r="G74" i="8"/>
  <c r="F108" i="8"/>
  <c r="E115" i="8"/>
  <c r="E116" i="8" s="1"/>
  <c r="H74" i="8"/>
  <c r="H72" i="8"/>
  <c r="D51" i="4"/>
  <c r="E63" i="4"/>
  <c r="E66" i="4"/>
  <c r="E62" i="4"/>
  <c r="E59" i="4"/>
  <c r="E68" i="4"/>
  <c r="E65" i="4"/>
  <c r="E61" i="4"/>
  <c r="E67" i="4"/>
  <c r="G67" i="4" s="1"/>
  <c r="E64" i="4"/>
  <c r="E60" i="4"/>
  <c r="G35" i="3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D51" i="5"/>
  <c r="E113" i="5"/>
  <c r="F113" i="5" s="1"/>
  <c r="E111" i="5"/>
  <c r="F111" i="5" s="1"/>
  <c r="E109" i="5"/>
  <c r="F109" i="5" s="1"/>
  <c r="D104" i="5"/>
  <c r="E112" i="5"/>
  <c r="F112" i="5" s="1"/>
  <c r="E110" i="5"/>
  <c r="F110" i="5" s="1"/>
  <c r="E108" i="5"/>
  <c r="E117" i="8" l="1"/>
  <c r="E119" i="8"/>
  <c r="G76" i="8"/>
  <c r="H73" i="8"/>
  <c r="F125" i="8"/>
  <c r="F120" i="8"/>
  <c r="F117" i="8"/>
  <c r="D125" i="8"/>
  <c r="F115" i="8"/>
  <c r="F119" i="8"/>
  <c r="G61" i="4"/>
  <c r="G62" i="4"/>
  <c r="G59" i="4"/>
  <c r="E72" i="4"/>
  <c r="E70" i="4"/>
  <c r="F67" i="4" s="1"/>
  <c r="F59" i="4"/>
  <c r="G60" i="4"/>
  <c r="G65" i="4"/>
  <c r="F65" i="4"/>
  <c r="G66" i="4"/>
  <c r="G64" i="4"/>
  <c r="G68" i="4"/>
  <c r="G63" i="4"/>
  <c r="E120" i="5"/>
  <c r="E117" i="5"/>
  <c r="F108" i="5"/>
  <c r="E115" i="5"/>
  <c r="E116" i="5" s="1"/>
  <c r="E119" i="5"/>
  <c r="G74" i="5"/>
  <c r="G72" i="5"/>
  <c r="G73" i="5" s="1"/>
  <c r="H60" i="5"/>
  <c r="G124" i="8" l="1"/>
  <c r="F116" i="8"/>
  <c r="F64" i="4"/>
  <c r="F63" i="4"/>
  <c r="F68" i="4"/>
  <c r="F66" i="4"/>
  <c r="F60" i="4"/>
  <c r="E71" i="4"/>
  <c r="F62" i="4"/>
  <c r="F61" i="4"/>
  <c r="G70" i="4"/>
  <c r="G72" i="4"/>
  <c r="C81" i="4"/>
  <c r="H74" i="5"/>
  <c r="H72" i="5"/>
  <c r="F125" i="5"/>
  <c r="F120" i="5"/>
  <c r="F117" i="5"/>
  <c r="D125" i="5"/>
  <c r="F115" i="5"/>
  <c r="F119" i="5"/>
  <c r="F72" i="4" l="1"/>
  <c r="F70" i="4"/>
  <c r="F71" i="4" s="1"/>
  <c r="G71" i="4"/>
  <c r="G74" i="4"/>
  <c r="C79" i="4"/>
  <c r="C82" i="4" s="1"/>
  <c r="C83" i="4" s="1"/>
  <c r="G76" i="5"/>
  <c r="H73" i="5"/>
  <c r="G124" i="5"/>
  <c r="F116" i="5"/>
</calcChain>
</file>

<file path=xl/sharedStrings.xml><?xml version="1.0" encoding="utf-8"?>
<sst xmlns="http://schemas.openxmlformats.org/spreadsheetml/2006/main" count="658" uniqueCount="167">
  <si>
    <t>HPLC System Suitability Report</t>
  </si>
  <si>
    <t>Analysis Data</t>
  </si>
  <si>
    <t>Assay</t>
  </si>
  <si>
    <t>Sample(s)</t>
  </si>
  <si>
    <t>Reference Substance:</t>
  </si>
  <si>
    <t>PANADOL EXTRA TABLETS</t>
  </si>
  <si>
    <t>% age Purity:</t>
  </si>
  <si>
    <t>NDQD201601309</t>
  </si>
  <si>
    <t>Weight (mg):</t>
  </si>
  <si>
    <t>Paracetamol 500mg and caffeine 65 mg.</t>
  </si>
  <si>
    <t>Standard Conc (mg/mL):</t>
  </si>
  <si>
    <t>Each caplet contains paracetamol 500 mg and caffeine 65 mg</t>
  </si>
  <si>
    <t>2017-01-13 10:27:59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</si>
  <si>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</si>
  <si>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</si>
  <si>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</si>
  <si>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</si>
  <si>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</si>
  <si>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</si>
  <si>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</si>
  <si>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</si>
  <si>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</si>
  <si>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</si>
  <si>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</si>
  <si>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</si>
  <si>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</si>
  <si>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</si>
  <si>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</si>
  <si>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</si>
  <si>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</si>
  <si>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</si>
  <si>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</si>
  <si>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</si>
  <si>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</si>
  <si>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</si>
  <si>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</si>
  <si>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</si>
  <si>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</si>
  <si>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</si>
  <si>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</si>
  <si>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</si>
  <si>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</si>
  <si>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</si>
  <si>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</si>
  <si>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</si>
  <si>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</si>
  <si>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</si>
  <si>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</si>
  <si>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Determination of weight variation of the Sample</t>
  </si>
  <si>
    <t xml:space="preserve">Label Claim: </t>
  </si>
  <si>
    <t>Each Tablet/Capsule/vial contains</t>
  </si>
  <si>
    <t>Please enter the percentage amount determined from the Assay test</t>
  </si>
  <si>
    <t>Weight:</t>
  </si>
  <si>
    <t>Content as % of the average content</t>
  </si>
  <si>
    <t>Calculation of acceptance value (AV)</t>
  </si>
  <si>
    <t>k</t>
  </si>
  <si>
    <t>s</t>
  </si>
  <si>
    <t xml:space="preserve">M 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</si>
  <si>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</si>
  <si>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>Average tablet:</t>
  </si>
  <si>
    <t>RSD: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</si>
  <si>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</si>
  <si>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</si>
  <si>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</si>
  <si>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</si>
  <si>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</si>
  <si>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</si>
  <si>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</si>
  <si>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</si>
  <si>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</si>
  <si>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</si>
  <si>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</si>
  <si>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</si>
  <si>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</si>
  <si>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</si>
  <si>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</si>
  <si>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</si>
  <si>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</si>
  <si>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</si>
  <si>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</si>
  <si>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</si>
  <si>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</si>
  <si>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</si>
  <si>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</si>
  <si>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</si>
  <si>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</si>
  <si>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</si>
  <si>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</si>
  <si>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</si>
  <si>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</si>
  <si>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</si>
  <si>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</si>
  <si>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</si>
  <si>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</si>
  <si>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</si>
  <si>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</si>
  <si>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Determination of Content of Active Ingredient in the Sample</t>
  </si>
  <si>
    <t>Each Tablet/Capsule contains</t>
  </si>
  <si>
    <t>Initial Sample dilution (mL):</t>
  </si>
  <si>
    <t>Tablet No.</t>
  </si>
  <si>
    <t>Peak Area:</t>
  </si>
  <si>
    <t>Actual Content</t>
  </si>
  <si>
    <t>Content as % of Label Claim</t>
  </si>
  <si>
    <t>Comment</t>
  </si>
  <si>
    <t xml:space="preserve">The content of </t>
  </si>
  <si>
    <t xml:space="preserve">in the sample as a percentage of the stated  label claim is </t>
  </si>
  <si>
    <t>Determination of the Acceptance Value (AV)</t>
  </si>
  <si>
    <t>DISSOLUTION:</t>
  </si>
  <si>
    <t>Determination of Active Ingredient Dissolved</t>
  </si>
  <si>
    <t>If correction for water content is not needed please enter 0</t>
  </si>
  <si>
    <t xml:space="preserve">Enter name of compound in free base form. If salt convertion is not needed enter 1. </t>
  </si>
  <si>
    <t xml:space="preserve">Enter name of compound in salt form. If salt convertion is not needed enter 1. 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</si>
  <si>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</si>
  <si>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</si>
  <si>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</si>
  <si>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</si>
  <si>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</si>
  <si>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</si>
  <si>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</si>
  <si>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</si>
  <si>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</si>
  <si>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</si>
  <si>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</si>
  <si>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</si>
  <si>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</si>
  <si>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</si>
  <si>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</si>
  <si>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Standard dilution volume (mL):</t>
  </si>
  <si>
    <t xml:space="preserve">Std Response Deviation </t>
  </si>
  <si>
    <t>Mass of RS (mg):</t>
  </si>
  <si>
    <t>Mass of WRS as free base (mg):</t>
  </si>
  <si>
    <t>Desired Concentration (mg/mL):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</si>
  <si>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</si>
  <si>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</si>
  <si>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</si>
  <si>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</si>
  <si>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</si>
  <si>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</si>
  <si>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</si>
  <si>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t>Assay Smp B</t>
  </si>
  <si>
    <t>Assay Smp C</t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</si>
  <si>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</si>
  <si>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</si>
  <si>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</si>
  <si>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</si>
  <si>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Purity correction:</t>
  </si>
  <si>
    <t>Conc (mg/mL):</t>
  </si>
  <si>
    <t>Average Normalised Peak Area:</t>
  </si>
  <si>
    <t>Unit No.</t>
  </si>
  <si>
    <t>Range</t>
  </si>
  <si>
    <t>Minimum:</t>
  </si>
  <si>
    <t>Maximum:</t>
  </si>
  <si>
    <t>Range:</t>
  </si>
  <si>
    <t>Minimum</t>
  </si>
  <si>
    <t>Maximum</t>
  </si>
  <si>
    <t xml:space="preserve">Paracetamol </t>
  </si>
  <si>
    <t>sarah</t>
  </si>
  <si>
    <t>31/1/2017</t>
  </si>
  <si>
    <t>Each Caplet contains Paracetemol B.P 500mg &amp;Caffeine 65mg</t>
  </si>
  <si>
    <t>24-01-2017</t>
  </si>
  <si>
    <t>31-01-2017</t>
  </si>
  <si>
    <t>Paracetamol</t>
  </si>
  <si>
    <t>p1-10</t>
  </si>
  <si>
    <t>Caffeine</t>
  </si>
  <si>
    <t>C55-1</t>
  </si>
  <si>
    <t>Cafeine</t>
  </si>
  <si>
    <t>c55-1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</si>
</sst>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\ &quot;%&quot;"/>
    <numFmt numFmtId="170" formatCode="0\ &quot;%&quot;"/>
    <numFmt numFmtId="171" formatCode="0.0000\ &quot;mg&quot;"/>
    <numFmt numFmtId="172" formatCode="0.000"/>
    <numFmt numFmtId="173" formatCode="0.0\ &quot;%&quot;"/>
    <numFmt numFmtId="174" formatCode="dd\-mmm\-yyyy"/>
    <numFmt numFmtId="175" formatCode="0.0\ &quot;mg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i/>
      <sz val="14"/>
      <color rgb="FF000000"/>
      <name val="Book Antiqua"/>
    </font>
    <font>
      <b/>
      <sz val="14"/>
      <color rgb="FF000000"/>
      <name val="Calibri"/>
    </font>
    <font>
      <b/>
      <u/>
      <sz val="16"/>
      <color rgb="FF000000"/>
      <name val="Book Antiqua"/>
    </font>
    <font>
      <b/>
      <sz val="36"/>
      <color rgb="FF000000"/>
      <name val="Book Antiqua"/>
    </font>
    <font>
      <sz val="14"/>
      <color rgb="FF000000"/>
      <name val="Calibri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6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9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 wrapText="1"/>
    </xf>
    <xf numFmtId="0" fontId="11" fillId="2" borderId="21" xfId="0" applyFont="1" applyFill="1" applyBorder="1" applyAlignment="1">
      <alignment horizontal="right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22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4" fillId="2" borderId="0" xfId="0" applyFont="1" applyFill="1"/>
    <xf numFmtId="0" fontId="6" fillId="2" borderId="0" xfId="0" applyFont="1" applyFill="1"/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169" fontId="12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" fontId="12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2" fillId="2" borderId="10" xfId="0" applyFont="1" applyFill="1" applyBorder="1" applyAlignment="1">
      <alignment horizontal="center"/>
    </xf>
    <xf numFmtId="0" fontId="13" fillId="2" borderId="0" xfId="0" applyFont="1" applyFill="1" applyAlignment="1" applyProtection="1">
      <alignment horizontal="right"/>
      <protection locked="0"/>
    </xf>
    <xf numFmtId="0" fontId="6" fillId="2" borderId="25" xfId="0" applyFont="1" applyFill="1" applyBorder="1"/>
    <xf numFmtId="0" fontId="12" fillId="2" borderId="29" xfId="0" applyFont="1" applyFill="1" applyBorder="1" applyAlignment="1">
      <alignment horizontal="center"/>
    </xf>
    <xf numFmtId="169" fontId="11" fillId="2" borderId="23" xfId="0" applyNumberFormat="1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/>
    </xf>
    <xf numFmtId="0" fontId="13" fillId="3" borderId="30" xfId="0" applyFont="1" applyFill="1" applyBorder="1" applyAlignment="1" applyProtection="1">
      <alignment horizontal="center" wrapText="1"/>
      <protection locked="0"/>
    </xf>
    <xf numFmtId="0" fontId="13" fillId="3" borderId="14" xfId="0" applyFont="1" applyFill="1" applyBorder="1" applyAlignment="1" applyProtection="1">
      <alignment horizontal="center" wrapText="1"/>
      <protection locked="0"/>
    </xf>
    <xf numFmtId="0" fontId="13" fillId="3" borderId="15" xfId="0" applyFont="1" applyFill="1" applyBorder="1" applyAlignment="1" applyProtection="1">
      <alignment horizontal="center" wrapText="1"/>
      <protection locked="0"/>
    </xf>
    <xf numFmtId="2" fontId="15" fillId="3" borderId="0" xfId="0" applyNumberFormat="1" applyFont="1" applyFill="1" applyAlignment="1" applyProtection="1">
      <alignment horizontal="center"/>
      <protection locked="0"/>
    </xf>
    <xf numFmtId="2" fontId="12" fillId="5" borderId="27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right"/>
    </xf>
    <xf numFmtId="2" fontId="11" fillId="2" borderId="27" xfId="0" applyNumberFormat="1" applyFont="1" applyFill="1" applyBorder="1" applyAlignment="1">
      <alignment horizontal="center"/>
    </xf>
    <xf numFmtId="0" fontId="13" fillId="3" borderId="27" xfId="0" applyFont="1" applyFill="1" applyBorder="1" applyAlignment="1" applyProtection="1">
      <alignment horizontal="center"/>
      <protection locked="0"/>
    </xf>
    <xf numFmtId="0" fontId="11" fillId="2" borderId="34" xfId="0" applyFont="1" applyFill="1" applyBorder="1" applyAlignment="1">
      <alignment horizontal="right"/>
    </xf>
    <xf numFmtId="170" fontId="12" fillId="7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Protection="1">
      <protection locked="0"/>
    </xf>
    <xf numFmtId="0" fontId="11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left"/>
      <protection locked="0"/>
    </xf>
    <xf numFmtId="0" fontId="13" fillId="2" borderId="0" xfId="0" applyFont="1" applyFill="1"/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8" fillId="2" borderId="0" xfId="0" applyFont="1" applyFill="1"/>
    <xf numFmtId="0" fontId="12" fillId="2" borderId="0" xfId="0" applyFont="1" applyFill="1" applyAlignment="1">
      <alignment horizontal="center"/>
    </xf>
    <xf numFmtId="0" fontId="19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35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36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6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5" fillId="3" borderId="48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24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5" fillId="3" borderId="0" xfId="0" applyFont="1" applyFill="1" applyAlignment="1" applyProtection="1">
      <alignment horizontal="center"/>
      <protection locked="0"/>
    </xf>
    <xf numFmtId="0" fontId="4" fillId="2" borderId="0" xfId="0" applyFont="1" applyFill="1"/>
    <xf numFmtId="0" fontId="6" fillId="2" borderId="0" xfId="0" applyFont="1" applyFill="1"/>
    <xf numFmtId="0" fontId="12" fillId="2" borderId="50" xfId="0" applyFont="1" applyFill="1" applyBorder="1" applyAlignment="1">
      <alignment horizontal="center"/>
    </xf>
    <xf numFmtId="0" fontId="12" fillId="6" borderId="51" xfId="0" applyFont="1" applyFill="1" applyBorder="1" applyAlignment="1">
      <alignment horizontal="center"/>
    </xf>
    <xf numFmtId="0" fontId="12" fillId="6" borderId="10" xfId="0" applyFont="1" applyFill="1" applyBorder="1" applyAlignment="1">
      <alignment horizontal="center"/>
    </xf>
    <xf numFmtId="0" fontId="12" fillId="6" borderId="52" xfId="0" applyFont="1" applyFill="1" applyBorder="1" applyAlignment="1">
      <alignment horizontal="center" wrapText="1"/>
    </xf>
    <xf numFmtId="0" fontId="12" fillId="6" borderId="23" xfId="0" applyFont="1" applyFill="1" applyBorder="1" applyAlignment="1">
      <alignment horizontal="center" wrapText="1"/>
    </xf>
    <xf numFmtId="0" fontId="11" fillId="2" borderId="24" xfId="0" applyFont="1" applyFill="1" applyBorder="1" applyAlignment="1">
      <alignment horizontal="center"/>
    </xf>
    <xf numFmtId="2" fontId="11" fillId="2" borderId="37" xfId="0" applyNumberFormat="1" applyFont="1" applyFill="1" applyBorder="1" applyAlignment="1">
      <alignment horizontal="center"/>
    </xf>
    <xf numFmtId="2" fontId="11" fillId="2" borderId="4" xfId="0" applyNumberFormat="1" applyFont="1" applyFill="1" applyBorder="1" applyAlignment="1">
      <alignment horizontal="center"/>
    </xf>
    <xf numFmtId="2" fontId="11" fillId="2" borderId="39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2" fontId="11" fillId="2" borderId="3" xfId="0" applyNumberFormat="1" applyFont="1" applyFill="1" applyBorder="1" applyAlignment="1">
      <alignment horizontal="center"/>
    </xf>
    <xf numFmtId="2" fontId="11" fillId="2" borderId="25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2" fontId="11" fillId="2" borderId="45" xfId="0" applyNumberFormat="1" applyFont="1" applyFill="1" applyBorder="1" applyAlignment="1">
      <alignment horizontal="center"/>
    </xf>
    <xf numFmtId="2" fontId="11" fillId="2" borderId="53" xfId="0" applyNumberFormat="1" applyFont="1" applyFill="1" applyBorder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25" xfId="0" applyFont="1" applyFill="1" applyBorder="1"/>
    <xf numFmtId="0" fontId="11" fillId="2" borderId="21" xfId="0" applyFont="1" applyFill="1" applyBorder="1" applyAlignment="1">
      <alignment horizontal="center"/>
    </xf>
    <xf numFmtId="10" fontId="12" fillId="2" borderId="0" xfId="0" applyNumberFormat="1" applyFont="1" applyFill="1" applyAlignment="1">
      <alignment horizontal="center"/>
    </xf>
    <xf numFmtId="2" fontId="12" fillId="5" borderId="27" xfId="0" applyNumberFormat="1" applyFont="1" applyFill="1" applyBorder="1" applyAlignment="1">
      <alignment horizontal="center"/>
    </xf>
    <xf numFmtId="2" fontId="15" fillId="5" borderId="27" xfId="0" applyNumberFormat="1" applyFont="1" applyFill="1" applyBorder="1" applyAlignment="1">
      <alignment horizontal="center"/>
    </xf>
    <xf numFmtId="10" fontId="12" fillId="7" borderId="27" xfId="0" applyNumberFormat="1" applyFont="1" applyFill="1" applyBorder="1" applyAlignment="1">
      <alignment horizontal="center"/>
    </xf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10" fontId="12" fillId="2" borderId="9" xfId="0" applyNumberFormat="1" applyFont="1" applyFill="1" applyBorder="1" applyAlignment="1">
      <alignment horizontal="center"/>
    </xf>
    <xf numFmtId="2" fontId="12" fillId="5" borderId="28" xfId="0" applyNumberFormat="1" applyFont="1" applyFill="1" applyBorder="1" applyAlignment="1">
      <alignment horizontal="center"/>
    </xf>
    <xf numFmtId="2" fontId="15" fillId="5" borderId="28" xfId="0" applyNumberFormat="1" applyFont="1" applyFill="1" applyBorder="1" applyAlignment="1">
      <alignment horizontal="center"/>
    </xf>
    <xf numFmtId="0" fontId="11" fillId="2" borderId="0" xfId="0" applyFont="1" applyFill="1"/>
    <xf numFmtId="0" fontId="6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73" fontId="12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165" fontId="12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11" fillId="2" borderId="1" xfId="0" applyFont="1" applyFill="1" applyBorder="1" applyAlignment="1">
      <alignment horizontal="right"/>
    </xf>
    <xf numFmtId="2" fontId="11" fillId="2" borderId="1" xfId="0" applyNumberFormat="1" applyFont="1" applyFill="1" applyBorder="1" applyAlignment="1">
      <alignment horizontal="center"/>
    </xf>
    <xf numFmtId="0" fontId="13" fillId="3" borderId="1" xfId="0" applyFont="1" applyFill="1" applyBorder="1" applyAlignment="1" applyProtection="1">
      <alignment horizontal="center"/>
      <protection locked="0"/>
    </xf>
    <xf numFmtId="1" fontId="12" fillId="7" borderId="1" xfId="0" applyNumberFormat="1" applyFont="1" applyFill="1" applyBorder="1" applyAlignment="1">
      <alignment horizontal="center"/>
    </xf>
    <xf numFmtId="0" fontId="12" fillId="2" borderId="0" xfId="0" applyFont="1" applyFill="1" applyAlignment="1" applyProtection="1">
      <alignment horizontal="center"/>
      <protection locked="0"/>
    </xf>
    <xf numFmtId="0" fontId="19" fillId="2" borderId="0" xfId="0" applyFont="1" applyFill="1"/>
    <xf numFmtId="0" fontId="20" fillId="2" borderId="0" xfId="0" applyFont="1" applyFill="1"/>
    <xf numFmtId="0" fontId="15" fillId="3" borderId="23" xfId="0" applyFont="1" applyFill="1" applyBorder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5" fillId="3" borderId="25" xfId="0" applyFont="1" applyFill="1" applyBorder="1" applyAlignment="1" applyProtection="1">
      <alignment horizontal="center"/>
      <protection locked="0"/>
    </xf>
    <xf numFmtId="172" fontId="11" fillId="2" borderId="4" xfId="0" applyNumberFormat="1" applyFont="1" applyFill="1" applyBorder="1" applyAlignment="1">
      <alignment horizontal="center"/>
    </xf>
    <xf numFmtId="0" fontId="15" fillId="3" borderId="54" xfId="0" applyFont="1" applyFill="1" applyBorder="1" applyAlignment="1" applyProtection="1">
      <alignment horizontal="center"/>
      <protection locked="0"/>
    </xf>
    <xf numFmtId="172" fontId="11" fillId="2" borderId="3" xfId="0" applyNumberFormat="1" applyFont="1" applyFill="1" applyBorder="1" applyAlignment="1">
      <alignment horizontal="center"/>
    </xf>
    <xf numFmtId="172" fontId="11" fillId="2" borderId="5" xfId="0" applyNumberFormat="1" applyFont="1" applyFill="1" applyBorder="1" applyAlignment="1">
      <alignment horizontal="center"/>
    </xf>
    <xf numFmtId="172" fontId="15" fillId="3" borderId="7" xfId="0" applyNumberFormat="1" applyFont="1" applyFill="1" applyBorder="1" applyAlignment="1" applyProtection="1">
      <alignment horizontal="center"/>
      <protection locked="0"/>
    </xf>
    <xf numFmtId="172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5" fillId="3" borderId="56" xfId="0" applyFont="1" applyFill="1" applyBorder="1" applyAlignment="1" applyProtection="1">
      <alignment horizontal="center"/>
      <protection locked="0"/>
    </xf>
    <xf numFmtId="2" fontId="11" fillId="7" borderId="27" xfId="0" applyNumberFormat="1" applyFont="1" applyFill="1" applyBorder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0" fontId="11" fillId="2" borderId="33" xfId="0" applyFont="1" applyFill="1" applyBorder="1" applyAlignment="1">
      <alignment horizontal="right"/>
    </xf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48" xfId="0" applyFont="1" applyFill="1" applyBorder="1" applyAlignment="1">
      <alignment horizontal="right"/>
    </xf>
    <xf numFmtId="10" fontId="12" fillId="7" borderId="48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2" fillId="6" borderId="17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/>
    </xf>
    <xf numFmtId="0" fontId="12" fillId="2" borderId="52" xfId="0" applyFont="1" applyFill="1" applyBorder="1"/>
    <xf numFmtId="0" fontId="12" fillId="2" borderId="23" xfId="0" applyFont="1" applyFill="1" applyBorder="1" applyAlignment="1">
      <alignment horizontal="center" wrapText="1"/>
    </xf>
    <xf numFmtId="2" fontId="11" fillId="2" borderId="37" xfId="0" applyNumberFormat="1" applyFont="1" applyFill="1" applyBorder="1" applyAlignment="1">
      <alignment horizontal="center"/>
    </xf>
    <xf numFmtId="10" fontId="11" fillId="2" borderId="38" xfId="0" applyNumberFormat="1" applyFont="1" applyFill="1" applyBorder="1" applyAlignment="1">
      <alignment horizontal="center"/>
    </xf>
    <xf numFmtId="2" fontId="11" fillId="2" borderId="40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center"/>
    </xf>
    <xf numFmtId="2" fontId="11" fillId="2" borderId="43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172" fontId="12" fillId="2" borderId="0" xfId="0" applyNumberFormat="1" applyFont="1" applyFill="1" applyAlignment="1">
      <alignment horizontal="center"/>
    </xf>
    <xf numFmtId="172" fontId="11" fillId="2" borderId="2" xfId="0" applyNumberFormat="1" applyFont="1" applyFill="1" applyBorder="1" applyAlignment="1">
      <alignment horizontal="right"/>
    </xf>
    <xf numFmtId="10" fontId="15" fillId="6" borderId="27" xfId="0" applyNumberFormat="1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1" xfId="0" applyFont="1" applyFill="1" applyBorder="1"/>
    <xf numFmtId="0" fontId="11" fillId="2" borderId="6" xfId="0" applyFont="1" applyFill="1" applyBorder="1"/>
    <xf numFmtId="0" fontId="11" fillId="2" borderId="22" xfId="0" applyFont="1" applyFill="1" applyBorder="1"/>
    <xf numFmtId="0" fontId="11" fillId="2" borderId="58" xfId="0" applyFont="1" applyFill="1" applyBorder="1" applyAlignment="1">
      <alignment horizontal="center"/>
    </xf>
    <xf numFmtId="0" fontId="11" fillId="2" borderId="59" xfId="0" applyFont="1" applyFill="1" applyBorder="1" applyAlignment="1">
      <alignment horizontal="right"/>
    </xf>
    <xf numFmtId="0" fontId="15" fillId="6" borderId="17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3" fillId="3" borderId="0" xfId="0" applyFont="1" applyFill="1" applyAlignment="1" applyProtection="1">
      <alignment horizontal="left"/>
      <protection locked="0"/>
    </xf>
    <xf numFmtId="0" fontId="12" fillId="2" borderId="10" xfId="0" applyFont="1" applyFill="1" applyBorder="1" applyAlignment="1">
      <alignment horizontal="center"/>
    </xf>
    <xf numFmtId="0" fontId="11" fillId="2" borderId="60" xfId="0" applyFont="1" applyFill="1" applyBorder="1" applyAlignment="1">
      <alignment horizontal="right"/>
    </xf>
    <xf numFmtId="0" fontId="13" fillId="3" borderId="4" xfId="0" applyFont="1" applyFill="1" applyBorder="1" applyAlignment="1" applyProtection="1">
      <alignment horizontal="center" wrapText="1"/>
      <protection locked="0"/>
    </xf>
    <xf numFmtId="0" fontId="13" fillId="3" borderId="3" xfId="0" applyFont="1" applyFill="1" applyBorder="1" applyAlignment="1" applyProtection="1">
      <alignment horizontal="center" wrapText="1"/>
      <protection locked="0"/>
    </xf>
    <xf numFmtId="0" fontId="13" fillId="3" borderId="53" xfId="0" applyFont="1" applyFill="1" applyBorder="1" applyAlignment="1" applyProtection="1">
      <alignment horizontal="center" wrapText="1"/>
      <protection locked="0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5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74" fontId="13" fillId="3" borderId="0" xfId="0" applyNumberFormat="1" applyFont="1" applyFill="1" applyAlignment="1" applyProtection="1">
      <alignment horizontal="center"/>
      <protection locked="0"/>
    </xf>
    <xf numFmtId="168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5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21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2" fontId="15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71" fontId="12" fillId="2" borderId="0" xfId="0" applyNumberFormat="1" applyFont="1" applyFill="1" applyAlignment="1">
      <alignment horizontal="center"/>
    </xf>
    <xf numFmtId="0" fontId="11" fillId="2" borderId="29" xfId="0" applyFont="1" applyFill="1" applyBorder="1" applyAlignment="1">
      <alignment horizontal="right"/>
    </xf>
    <xf numFmtId="0" fontId="15" fillId="3" borderId="23" xfId="0" applyFont="1" applyFill="1" applyBorder="1" applyAlignment="1" applyProtection="1">
      <alignment horizontal="center"/>
      <protection locked="0"/>
    </xf>
    <xf numFmtId="0" fontId="11" fillId="2" borderId="21" xfId="0" applyFont="1" applyFill="1" applyBorder="1" applyAlignment="1">
      <alignment horizontal="right"/>
    </xf>
    <xf numFmtId="0" fontId="15" fillId="3" borderId="25" xfId="0" applyFont="1" applyFill="1" applyBorder="1" applyAlignment="1" applyProtection="1">
      <alignment horizontal="center"/>
      <protection locked="0"/>
    </xf>
    <xf numFmtId="0" fontId="12" fillId="2" borderId="23" xfId="0" applyFont="1" applyFill="1" applyBorder="1" applyAlignment="1">
      <alignment horizontal="center"/>
    </xf>
    <xf numFmtId="0" fontId="12" fillId="2" borderId="33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39" xfId="0" applyFont="1" applyFill="1" applyBorder="1" applyAlignment="1">
      <alignment horizontal="center"/>
    </xf>
    <xf numFmtId="0" fontId="15" fillId="3" borderId="24" xfId="0" applyFont="1" applyFill="1" applyBorder="1" applyAlignment="1" applyProtection="1">
      <alignment horizontal="center"/>
      <protection locked="0"/>
    </xf>
    <xf numFmtId="172" fontId="11" fillId="2" borderId="37" xfId="0" applyNumberFormat="1" applyFont="1" applyFill="1" applyBorder="1" applyAlignment="1">
      <alignment horizontal="center"/>
    </xf>
    <xf numFmtId="172" fontId="11" fillId="2" borderId="38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5" xfId="0" applyFont="1" applyFill="1" applyBorder="1" applyAlignment="1">
      <alignment horizontal="center"/>
    </xf>
    <xf numFmtId="0" fontId="15" fillId="3" borderId="21" xfId="0" applyFont="1" applyFill="1" applyBorder="1" applyAlignment="1" applyProtection="1">
      <alignment horizontal="center"/>
      <protection locked="0"/>
    </xf>
    <xf numFmtId="172" fontId="11" fillId="2" borderId="40" xfId="0" applyNumberFormat="1" applyFont="1" applyFill="1" applyBorder="1" applyAlignment="1">
      <alignment horizontal="center"/>
    </xf>
    <xf numFmtId="172" fontId="11" fillId="2" borderId="36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41" xfId="0" applyFont="1" applyFill="1" applyBorder="1" applyAlignment="1">
      <alignment horizontal="center"/>
    </xf>
    <xf numFmtId="0" fontId="15" fillId="3" borderId="42" xfId="0" applyFont="1" applyFill="1" applyBorder="1" applyAlignment="1" applyProtection="1">
      <alignment horizontal="center"/>
      <protection locked="0"/>
    </xf>
    <xf numFmtId="172" fontId="11" fillId="2" borderId="43" xfId="0" applyNumberFormat="1" applyFont="1" applyFill="1" applyBorder="1" applyAlignment="1">
      <alignment horizontal="center"/>
    </xf>
    <xf numFmtId="172" fontId="11" fillId="2" borderId="44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5" xfId="0" applyFont="1" applyFill="1" applyBorder="1" applyAlignment="1">
      <alignment horizontal="right"/>
    </xf>
    <xf numFmtId="1" fontId="12" fillId="7" borderId="34" xfId="0" applyNumberFormat="1" applyFont="1" applyFill="1" applyBorder="1" applyAlignment="1">
      <alignment horizontal="center"/>
    </xf>
    <xf numFmtId="172" fontId="12" fillId="7" borderId="45" xfId="0" applyNumberFormat="1" applyFont="1" applyFill="1" applyBorder="1" applyAlignment="1">
      <alignment horizontal="center"/>
    </xf>
    <xf numFmtId="172" fontId="12" fillId="7" borderId="46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7" xfId="0" applyFont="1" applyFill="1" applyBorder="1" applyAlignment="1">
      <alignment horizontal="right"/>
    </xf>
    <xf numFmtId="0" fontId="15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7" borderId="48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5" xfId="0" applyFont="1" applyFill="1" applyBorder="1" applyAlignment="1">
      <alignment horizontal="center"/>
    </xf>
    <xf numFmtId="2" fontId="11" fillId="6" borderId="48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7" borderId="48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7" borderId="17" xfId="0" applyNumberFormat="1" applyFont="1" applyFill="1" applyBorder="1" applyAlignment="1">
      <alignment horizontal="center"/>
    </xf>
    <xf numFmtId="0" fontId="11" fillId="2" borderId="49" xfId="0" applyFont="1" applyFill="1" applyBorder="1" applyAlignment="1">
      <alignment horizontal="right"/>
    </xf>
    <xf numFmtId="166" fontId="15" fillId="3" borderId="48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4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7" borderId="15" xfId="0" applyNumberFormat="1" applyFont="1" applyFill="1" applyBorder="1" applyAlignment="1">
      <alignment horizontal="center"/>
    </xf>
    <xf numFmtId="172" fontId="12" fillId="6" borderId="13" xfId="0" applyNumberFormat="1" applyFont="1" applyFill="1" applyBorder="1" applyAlignment="1">
      <alignment horizontal="center"/>
    </xf>
    <xf numFmtId="172" fontId="11" fillId="2" borderId="0" xfId="0" applyNumberFormat="1" applyFont="1" applyFill="1" applyAlignment="1">
      <alignment horizontal="center"/>
    </xf>
    <xf numFmtId="10" fontId="11" fillId="7" borderId="48" xfId="0" applyNumberFormat="1" applyFont="1" applyFill="1" applyBorder="1" applyAlignment="1">
      <alignment horizontal="center"/>
    </xf>
    <xf numFmtId="0" fontId="11" fillId="2" borderId="22" xfId="0" applyFont="1" applyFill="1" applyBorder="1" applyAlignment="1">
      <alignment horizontal="right"/>
    </xf>
    <xf numFmtId="0" fontId="11" fillId="6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5" fontId="15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5" fillId="3" borderId="29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5" fillId="3" borderId="21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5" fillId="3" borderId="22" xfId="0" applyFont="1" applyFill="1" applyBorder="1" applyAlignment="1" applyProtection="1">
      <alignment horizontal="center"/>
      <protection locked="0"/>
    </xf>
    <xf numFmtId="0" fontId="13" fillId="2" borderId="25" xfId="0" applyFont="1" applyFill="1" applyBorder="1" applyAlignment="1">
      <alignment horizontal="center"/>
    </xf>
    <xf numFmtId="2" fontId="13" fillId="2" borderId="26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1" xfId="0" applyFont="1" applyFill="1" applyBorder="1" applyAlignment="1">
      <alignment horizontal="right"/>
    </xf>
    <xf numFmtId="0" fontId="11" fillId="2" borderId="48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5" fillId="6" borderId="62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5" fillId="3" borderId="0" xfId="0" applyFont="1" applyFill="1" applyAlignment="1" applyProtection="1">
      <alignment horizontal="center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2" fontId="15" fillId="3" borderId="42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7" borderId="63" xfId="0" applyNumberFormat="1" applyFont="1" applyFill="1" applyBorder="1" applyAlignment="1">
      <alignment horizontal="center"/>
    </xf>
    <xf numFmtId="1" fontId="12" fillId="7" borderId="55" xfId="0" applyNumberFormat="1" applyFont="1" applyFill="1" applyBorder="1" applyAlignment="1">
      <alignment horizontal="center"/>
    </xf>
    <xf numFmtId="172" fontId="12" fillId="7" borderId="15" xfId="0" applyNumberFormat="1" applyFont="1" applyFill="1" applyBorder="1" applyAlignment="1">
      <alignment horizontal="center"/>
    </xf>
    <xf numFmtId="0" fontId="11" fillId="2" borderId="64" xfId="0" applyFont="1" applyFill="1" applyBorder="1" applyAlignment="1">
      <alignment horizontal="right"/>
    </xf>
    <xf numFmtId="0" fontId="15" fillId="3" borderId="56" xfId="0" applyFont="1" applyFill="1" applyBorder="1" applyAlignment="1" applyProtection="1">
      <alignment horizontal="center"/>
      <protection locked="0"/>
    </xf>
    <xf numFmtId="0" fontId="11" fillId="2" borderId="33" xfId="0" applyFont="1" applyFill="1" applyBorder="1" applyAlignment="1">
      <alignment horizontal="right"/>
    </xf>
    <xf numFmtId="2" fontId="11" fillId="7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6" borderId="27" xfId="0" applyNumberFormat="1" applyFont="1" applyFill="1" applyBorder="1" applyAlignment="1">
      <alignment horizontal="center"/>
    </xf>
    <xf numFmtId="166" fontId="11" fillId="7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6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7" xfId="0" applyFont="1" applyFill="1" applyBorder="1" applyAlignment="1">
      <alignment horizontal="right"/>
    </xf>
    <xf numFmtId="2" fontId="11" fillId="6" borderId="38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2" fontId="12" fillId="6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7" borderId="48" xfId="0" applyNumberFormat="1" applyFont="1" applyFill="1" applyBorder="1" applyAlignment="1">
      <alignment horizontal="center"/>
    </xf>
    <xf numFmtId="0" fontId="12" fillId="6" borderId="17" xfId="0" applyFont="1" applyFill="1" applyBorder="1" applyAlignment="1">
      <alignment horizontal="center"/>
    </xf>
    <xf numFmtId="0" fontId="12" fillId="2" borderId="23" xfId="0" applyFont="1" applyFill="1" applyBorder="1" applyAlignment="1">
      <alignment horizontal="center" wrapText="1"/>
    </xf>
    <xf numFmtId="0" fontId="11" fillId="2" borderId="21" xfId="0" applyFont="1" applyFill="1" applyBorder="1" applyAlignment="1">
      <alignment horizontal="center"/>
    </xf>
    <xf numFmtId="0" fontId="11" fillId="2" borderId="21" xfId="0" applyFont="1" applyFill="1" applyBorder="1"/>
    <xf numFmtId="10" fontId="15" fillId="7" borderId="27" xfId="0" applyNumberFormat="1" applyFont="1" applyFill="1" applyBorder="1" applyAlignment="1">
      <alignment horizontal="center"/>
    </xf>
    <xf numFmtId="0" fontId="11" fillId="2" borderId="22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4" fillId="2" borderId="0" xfId="0" applyFont="1" applyFill="1" applyAlignment="1">
      <alignment horizontal="right" vertical="center" wrapText="1"/>
    </xf>
    <xf numFmtId="0" fontId="15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9" xfId="0" applyNumberFormat="1" applyFont="1" applyFill="1" applyBorder="1" applyAlignment="1">
      <alignment horizontal="center"/>
    </xf>
    <xf numFmtId="166" fontId="11" fillId="2" borderId="21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5" fillId="7" borderId="65" xfId="0" applyNumberFormat="1" applyFont="1" applyFill="1" applyBorder="1" applyAlignment="1">
      <alignment horizontal="center"/>
    </xf>
    <xf numFmtId="2" fontId="15" fillId="6" borderId="41" xfId="0" applyNumberFormat="1" applyFont="1" applyFill="1" applyBorder="1" applyAlignment="1">
      <alignment horizontal="center"/>
    </xf>
    <xf numFmtId="0" fontId="13" fillId="2" borderId="0" xfId="0" applyFont="1" applyFill="1"/>
    <xf numFmtId="10" fontId="15" fillId="7" borderId="65" xfId="0" applyNumberFormat="1" applyFont="1" applyFill="1" applyBorder="1" applyAlignment="1">
      <alignment horizontal="center"/>
    </xf>
    <xf numFmtId="172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5" fillId="6" borderId="32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5" fillId="6" borderId="39" xfId="0" applyFont="1" applyFill="1" applyBorder="1" applyAlignment="1">
      <alignment horizontal="center"/>
    </xf>
    <xf numFmtId="0" fontId="15" fillId="6" borderId="30" xfId="0" applyFont="1" applyFill="1" applyBorder="1" applyAlignment="1">
      <alignment horizontal="center"/>
    </xf>
    <xf numFmtId="2" fontId="15" fillId="7" borderId="65" xfId="0" applyNumberFormat="1" applyFont="1" applyFill="1" applyBorder="1" applyAlignment="1">
      <alignment horizontal="center"/>
    </xf>
    <xf numFmtId="2" fontId="15" fillId="6" borderId="62" xfId="0" applyNumberFormat="1" applyFont="1" applyFill="1" applyBorder="1" applyAlignment="1">
      <alignment horizontal="center"/>
    </xf>
    <xf numFmtId="166" fontId="11" fillId="2" borderId="22" xfId="0" applyNumberFormat="1" applyFont="1" applyFill="1" applyBorder="1" applyAlignment="1">
      <alignment horizontal="center"/>
    </xf>
    <xf numFmtId="169" fontId="11" fillId="2" borderId="13" xfId="0" applyNumberFormat="1" applyFont="1" applyFill="1" applyBorder="1" applyAlignment="1">
      <alignment horizontal="center" vertical="center"/>
    </xf>
    <xf numFmtId="169" fontId="11" fillId="2" borderId="14" xfId="0" applyNumberFormat="1" applyFont="1" applyFill="1" applyBorder="1" applyAlignment="1">
      <alignment horizontal="center" vertical="center"/>
    </xf>
    <xf numFmtId="169" fontId="11" fillId="2" borderId="15" xfId="0" applyNumberFormat="1" applyFont="1" applyFill="1" applyBorder="1" applyAlignment="1">
      <alignment horizontal="center" vertical="center"/>
    </xf>
    <xf numFmtId="169" fontId="15" fillId="6" borderId="41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5" fillId="3" borderId="14" xfId="0" applyNumberFormat="1" applyFont="1" applyFill="1" applyBorder="1" applyAlignment="1" applyProtection="1">
      <alignment horizontal="center"/>
      <protection locked="0"/>
    </xf>
    <xf numFmtId="1" fontId="15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5" fillId="3" borderId="13" xfId="0" applyNumberFormat="1" applyFont="1" applyFill="1" applyBorder="1" applyAlignment="1" applyProtection="1">
      <alignment horizontal="center"/>
      <protection locked="0"/>
    </xf>
    <xf numFmtId="169" fontId="11" fillId="2" borderId="23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169" fontId="11" fillId="2" borderId="26" xfId="0" applyNumberFormat="1" applyFont="1" applyFill="1" applyBorder="1" applyAlignment="1">
      <alignment horizontal="center"/>
    </xf>
    <xf numFmtId="169" fontId="11" fillId="2" borderId="25" xfId="0" applyNumberFormat="1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31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173" fontId="15" fillId="6" borderId="56" xfId="0" applyNumberFormat="1" applyFont="1" applyFill="1" applyBorder="1" applyAlignment="1">
      <alignment horizontal="center"/>
    </xf>
    <xf numFmtId="173" fontId="15" fillId="7" borderId="65" xfId="0" applyNumberFormat="1" applyFont="1" applyFill="1" applyBorder="1" applyAlignment="1">
      <alignment horizontal="center"/>
    </xf>
    <xf numFmtId="173" fontId="15" fillId="6" borderId="62" xfId="0" applyNumberFormat="1" applyFont="1" applyFill="1" applyBorder="1" applyAlignment="1">
      <alignment horizontal="center"/>
    </xf>
    <xf numFmtId="170" fontId="23" fillId="2" borderId="0" xfId="0" applyNumberFormat="1" applyFont="1" applyFill="1" applyAlignment="1">
      <alignment horizontal="center"/>
    </xf>
    <xf numFmtId="1" fontId="15" fillId="3" borderId="0" xfId="0" applyNumberFormat="1" applyFont="1" applyFill="1" applyAlignment="1" applyProtection="1">
      <alignment horizontal="center"/>
      <protection locked="0"/>
    </xf>
    <xf numFmtId="1" fontId="15" fillId="3" borderId="40" xfId="0" applyNumberFormat="1" applyFont="1" applyFill="1" applyBorder="1" applyAlignment="1" applyProtection="1">
      <alignment horizontal="center"/>
      <protection locked="0"/>
    </xf>
    <xf numFmtId="1" fontId="15" fillId="3" borderId="43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2" fillId="2" borderId="32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14" fillId="2" borderId="19" xfId="0" applyFont="1" applyFill="1" applyBorder="1" applyAlignment="1">
      <alignment horizontal="center"/>
    </xf>
    <xf numFmtId="0" fontId="15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4" fillId="2" borderId="18" xfId="0" applyFont="1" applyFill="1" applyBorder="1" applyAlignment="1">
      <alignment horizontal="left"/>
    </xf>
    <xf numFmtId="0" fontId="14" fillId="2" borderId="19" xfId="0" applyFont="1" applyFill="1" applyBorder="1" applyAlignment="1">
      <alignment horizontal="left"/>
    </xf>
    <xf numFmtId="0" fontId="14" fillId="2" borderId="18" xfId="0" applyFont="1" applyFill="1" applyBorder="1" applyAlignment="1">
      <alignment horizontal="left" vertical="center" wrapText="1"/>
    </xf>
    <xf numFmtId="0" fontId="14" fillId="2" borderId="19" xfId="0" applyFont="1" applyFill="1" applyBorder="1" applyAlignment="1">
      <alignment horizontal="left" vertical="center" wrapText="1"/>
    </xf>
    <xf numFmtId="0" fontId="14" fillId="2" borderId="29" xfId="0" applyFont="1" applyFill="1" applyBorder="1" applyAlignment="1">
      <alignment horizontal="left" vertical="center" wrapText="1"/>
    </xf>
    <xf numFmtId="0" fontId="14" fillId="2" borderId="23" xfId="0" applyFont="1" applyFill="1" applyBorder="1" applyAlignment="1">
      <alignment horizontal="left" vertical="center" wrapText="1"/>
    </xf>
    <xf numFmtId="0" fontId="14" fillId="2" borderId="22" xfId="0" applyFont="1" applyFill="1" applyBorder="1" applyAlignment="1">
      <alignment horizontal="left" vertical="center" wrapText="1"/>
    </xf>
    <xf numFmtId="0" fontId="14" fillId="2" borderId="26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center"/>
    </xf>
    <xf numFmtId="0" fontId="12" fillId="2" borderId="60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justify" vertical="center" wrapText="1"/>
    </xf>
    <xf numFmtId="0" fontId="14" fillId="2" borderId="19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justify" vertical="center" wrapText="1"/>
    </xf>
    <xf numFmtId="0" fontId="14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 vertical="center"/>
    </xf>
    <xf numFmtId="0" fontId="12" fillId="2" borderId="32" xfId="0" applyFont="1" applyFill="1" applyBorder="1" applyAlignment="1">
      <alignment horizontal="center" vertical="center"/>
    </xf>
    <xf numFmtId="0" fontId="15" fillId="3" borderId="0" xfId="0" applyFont="1" applyFill="1" applyAlignment="1" applyProtection="1">
      <alignment horizontal="left" wrapText="1"/>
      <protection locked="0"/>
    </xf>
    <xf numFmtId="0" fontId="14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10" fontId="21" fillId="2" borderId="14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5" fillId="3" borderId="13" xfId="0" applyNumberFormat="1" applyFont="1" applyFill="1" applyBorder="1" applyAlignment="1" applyProtection="1">
      <alignment horizontal="center" vertical="center"/>
      <protection locked="0"/>
    </xf>
    <xf numFmtId="2" fontId="15" fillId="3" borderId="14" xfId="0" applyNumberFormat="1" applyFont="1" applyFill="1" applyBorder="1" applyAlignment="1" applyProtection="1">
      <alignment horizontal="center" vertical="center"/>
      <protection locked="0"/>
    </xf>
    <xf numFmtId="2" fontId="15" fillId="3" borderId="15" xfId="0" applyNumberFormat="1" applyFont="1" applyFill="1" applyBorder="1" applyAlignment="1" applyProtection="1">
      <alignment horizontal="center" vertical="center"/>
      <protection locked="0"/>
    </xf>
    <xf numFmtId="0" fontId="12" fillId="2" borderId="22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2" workbookViewId="0">
      <selection activeCell="C53" sqref="C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539" t="s">
        <v>31</v>
      </c>
      <c r="B11" s="540"/>
      <c r="C11" s="540"/>
      <c r="D11" s="540"/>
      <c r="E11" s="540"/>
      <c r="F11" s="541"/>
      <c r="G11" s="91"/>
    </row>
    <row r="12" spans="1:7" ht="16.5" customHeight="1" x14ac:dyDescent="0.3">
      <c r="A12" s="538" t="s">
        <v>32</v>
      </c>
      <c r="B12" s="538"/>
      <c r="C12" s="538"/>
      <c r="D12" s="538"/>
      <c r="E12" s="538"/>
      <c r="F12" s="538"/>
      <c r="G12" s="90"/>
    </row>
    <row r="14" spans="1:7" ht="16.5" customHeight="1" x14ac:dyDescent="0.3">
      <c r="A14" s="543" t="s">
        <v>33</v>
      </c>
      <c r="B14" s="543"/>
      <c r="C14" s="60" t="s">
        <v>5</v>
      </c>
    </row>
    <row r="15" spans="1:7" ht="16.5" customHeight="1" x14ac:dyDescent="0.3">
      <c r="A15" s="543" t="s">
        <v>34</v>
      </c>
      <c r="B15" s="543"/>
      <c r="C15" s="60" t="s">
        <v>7</v>
      </c>
    </row>
    <row r="16" spans="1:7" ht="16.5" customHeight="1" x14ac:dyDescent="0.3">
      <c r="A16" s="543" t="s">
        <v>35</v>
      </c>
      <c r="B16" s="543"/>
      <c r="C16" s="60" t="s">
        <v>9</v>
      </c>
    </row>
    <row r="17" spans="1:5" ht="16.5" customHeight="1" x14ac:dyDescent="0.3">
      <c r="A17" s="543" t="s">
        <v>36</v>
      </c>
      <c r="B17" s="543"/>
      <c r="C17" s="60" t="s">
        <v>11</v>
      </c>
    </row>
    <row r="18" spans="1:5" ht="16.5" customHeight="1" x14ac:dyDescent="0.3">
      <c r="A18" s="543" t="s">
        <v>37</v>
      </c>
      <c r="B18" s="543"/>
      <c r="C18" s="97" t="s">
        <v>12</v>
      </c>
    </row>
    <row r="19" spans="1:5" ht="16.5" customHeight="1" x14ac:dyDescent="0.3">
      <c r="A19" s="543" t="s">
        <v>38</v>
      </c>
      <c r="B19" s="543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538" t="s">
        <v>1</v>
      </c>
      <c r="B21" s="538"/>
      <c r="C21" s="59" t="s">
        <v>39</v>
      </c>
      <c r="D21" s="66"/>
    </row>
    <row r="22" spans="1:5" ht="15.75" customHeight="1" x14ac:dyDescent="0.3">
      <c r="A22" s="542"/>
      <c r="B22" s="542"/>
      <c r="C22" s="57"/>
      <c r="D22" s="542"/>
      <c r="E22" s="542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692.53</v>
      </c>
      <c r="D24" s="87">
        <f t="shared" ref="D24:D43" si="0">(C24-$C$46)/$C$46</f>
        <v>4.5343514107837731E-3</v>
      </c>
      <c r="E24" s="53"/>
    </row>
    <row r="25" spans="1:5" ht="15.75" customHeight="1" x14ac:dyDescent="0.3">
      <c r="C25" s="95">
        <v>687.78</v>
      </c>
      <c r="D25" s="88">
        <f t="shared" si="0"/>
        <v>-2.3556579306183655E-3</v>
      </c>
      <c r="E25" s="53"/>
    </row>
    <row r="26" spans="1:5" ht="15.75" customHeight="1" x14ac:dyDescent="0.3">
      <c r="C26" s="95">
        <v>687.78</v>
      </c>
      <c r="D26" s="88">
        <f t="shared" si="0"/>
        <v>-2.3556579306183655E-3</v>
      </c>
      <c r="E26" s="53"/>
    </row>
    <row r="27" spans="1:5" ht="15.75" customHeight="1" x14ac:dyDescent="0.3">
      <c r="C27" s="95">
        <v>691.42</v>
      </c>
      <c r="D27" s="88">
        <f t="shared" si="0"/>
        <v>2.9242650173192538E-3</v>
      </c>
      <c r="E27" s="53"/>
    </row>
    <row r="28" spans="1:5" ht="15.75" customHeight="1" x14ac:dyDescent="0.3">
      <c r="C28" s="95">
        <v>691.41</v>
      </c>
      <c r="D28" s="88">
        <f t="shared" si="0"/>
        <v>2.9097597344952624E-3</v>
      </c>
      <c r="E28" s="53"/>
    </row>
    <row r="29" spans="1:5" ht="15.75" customHeight="1" x14ac:dyDescent="0.3">
      <c r="C29" s="95">
        <v>686.98</v>
      </c>
      <c r="D29" s="88">
        <f t="shared" si="0"/>
        <v>-3.5160805565386598E-3</v>
      </c>
      <c r="E29" s="53"/>
    </row>
    <row r="30" spans="1:5" ht="15.75" customHeight="1" x14ac:dyDescent="0.3">
      <c r="C30" s="95">
        <v>688.08</v>
      </c>
      <c r="D30" s="88">
        <f t="shared" si="0"/>
        <v>-1.9204994458981316E-3</v>
      </c>
      <c r="E30" s="53"/>
    </row>
    <row r="31" spans="1:5" ht="15.75" customHeight="1" x14ac:dyDescent="0.3">
      <c r="C31" s="95">
        <v>689.38</v>
      </c>
      <c r="D31" s="88">
        <f t="shared" si="0"/>
        <v>-3.4812678777612125E-5</v>
      </c>
      <c r="E31" s="53"/>
    </row>
    <row r="32" spans="1:5" ht="15.75" customHeight="1" x14ac:dyDescent="0.3">
      <c r="C32" s="95">
        <v>680.14</v>
      </c>
      <c r="D32" s="88">
        <f t="shared" si="0"/>
        <v>-1.3437694008157785E-2</v>
      </c>
      <c r="E32" s="53"/>
    </row>
    <row r="33" spans="1:7" ht="15.75" customHeight="1" x14ac:dyDescent="0.3">
      <c r="C33" s="95">
        <v>686.22</v>
      </c>
      <c r="D33" s="88">
        <f t="shared" si="0"/>
        <v>-4.6184820511629889E-3</v>
      </c>
      <c r="E33" s="53"/>
    </row>
    <row r="34" spans="1:7" ht="15.75" customHeight="1" x14ac:dyDescent="0.3">
      <c r="C34" s="95">
        <v>689.39</v>
      </c>
      <c r="D34" s="88">
        <f t="shared" si="0"/>
        <v>-2.0307395953620816E-5</v>
      </c>
      <c r="E34" s="53"/>
    </row>
    <row r="35" spans="1:7" ht="15.75" customHeight="1" x14ac:dyDescent="0.3">
      <c r="C35" s="95">
        <v>689.81</v>
      </c>
      <c r="D35" s="88">
        <f t="shared" si="0"/>
        <v>5.8891448265450898E-4</v>
      </c>
      <c r="E35" s="53"/>
    </row>
    <row r="36" spans="1:7" ht="15.75" customHeight="1" x14ac:dyDescent="0.3">
      <c r="C36" s="95">
        <v>694.17</v>
      </c>
      <c r="D36" s="88">
        <f t="shared" si="0"/>
        <v>6.913217793920492E-3</v>
      </c>
      <c r="E36" s="53"/>
    </row>
    <row r="37" spans="1:7" ht="15.75" customHeight="1" x14ac:dyDescent="0.3">
      <c r="C37" s="95">
        <v>692.39</v>
      </c>
      <c r="D37" s="88">
        <f t="shared" si="0"/>
        <v>4.3312774512477299E-3</v>
      </c>
      <c r="E37" s="53"/>
    </row>
    <row r="38" spans="1:7" ht="15.75" customHeight="1" x14ac:dyDescent="0.3">
      <c r="C38" s="95">
        <v>694.36</v>
      </c>
      <c r="D38" s="88">
        <f t="shared" si="0"/>
        <v>7.1888181675766561E-3</v>
      </c>
      <c r="E38" s="53"/>
    </row>
    <row r="39" spans="1:7" ht="15.75" customHeight="1" x14ac:dyDescent="0.3">
      <c r="C39" s="95">
        <v>687.08</v>
      </c>
      <c r="D39" s="88">
        <f t="shared" si="0"/>
        <v>-3.3710277282985816E-3</v>
      </c>
      <c r="E39" s="53"/>
    </row>
    <row r="40" spans="1:7" ht="15.75" customHeight="1" x14ac:dyDescent="0.3">
      <c r="C40" s="95">
        <v>694.26</v>
      </c>
      <c r="D40" s="88">
        <f t="shared" si="0"/>
        <v>7.0437653393365784E-3</v>
      </c>
      <c r="E40" s="53"/>
    </row>
    <row r="41" spans="1:7" ht="15.75" customHeight="1" x14ac:dyDescent="0.3">
      <c r="C41" s="95">
        <v>687.23</v>
      </c>
      <c r="D41" s="88">
        <f t="shared" si="0"/>
        <v>-3.1534484859385473E-3</v>
      </c>
      <c r="E41" s="53"/>
    </row>
    <row r="42" spans="1:7" ht="15.75" customHeight="1" x14ac:dyDescent="0.3">
      <c r="C42" s="95">
        <v>690.89</v>
      </c>
      <c r="D42" s="88">
        <f t="shared" si="0"/>
        <v>2.1554850276470547E-3</v>
      </c>
      <c r="E42" s="53"/>
    </row>
    <row r="43" spans="1:7" ht="16.5" customHeight="1" x14ac:dyDescent="0.3">
      <c r="C43" s="96">
        <v>686.78</v>
      </c>
      <c r="D43" s="89">
        <f t="shared" si="0"/>
        <v>-3.8061862130188157E-3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13788.08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689.404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536">
        <f>C46</f>
        <v>689.404</v>
      </c>
      <c r="C49" s="93">
        <f>-IF(C46&lt;=80,10%,IF(C46&lt;250,7.5%,5%))</f>
        <v>-0.05</v>
      </c>
      <c r="D49" s="81">
        <f>IF(C46&lt;=80,C46*0.9,IF(C46&lt;250,C46*0.925,C46*0.95))</f>
        <v>654.93380000000002</v>
      </c>
    </row>
    <row r="50" spans="1:6" ht="17.25" customHeight="1" x14ac:dyDescent="0.3">
      <c r="B50" s="537"/>
      <c r="C50" s="94">
        <f>IF(C46&lt;=80, 10%, IF(C46&lt;250, 7.5%, 5%))</f>
        <v>0.05</v>
      </c>
      <c r="D50" s="81">
        <f>IF(C46&lt;=80, C46*1.1, IF(C46&lt;250, C46*1.075, C46*1.05))</f>
        <v>723.87419999999997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1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0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9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8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7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6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5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4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3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2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1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0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9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8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7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6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5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4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3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2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1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22" zoomScale="60" zoomScaleNormal="68" workbookViewId="0">
      <selection activeCell="F32" sqref="F32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534" t="s">
        <v>0</v>
      </c>
      <c r="B15" s="534"/>
      <c r="C15" s="534"/>
      <c r="D15" s="534"/>
      <c r="E15" s="53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155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99.3</v>
      </c>
      <c r="C19" s="10"/>
      <c r="D19" s="10"/>
      <c r="E19" s="10"/>
    </row>
    <row r="20" spans="1:6" ht="16.5" customHeight="1" x14ac:dyDescent="0.3">
      <c r="A20" s="7" t="s">
        <v>8</v>
      </c>
      <c r="B20" s="12">
        <v>11.65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B20/100</f>
        <v>0.11650000000000001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11243013</v>
      </c>
      <c r="C24" s="18">
        <v>1720.2</v>
      </c>
      <c r="D24" s="19">
        <v>1.2</v>
      </c>
      <c r="E24" s="20">
        <v>2.6</v>
      </c>
    </row>
    <row r="25" spans="1:6" ht="16.5" customHeight="1" x14ac:dyDescent="0.3">
      <c r="A25" s="17">
        <v>2</v>
      </c>
      <c r="B25" s="18">
        <v>11284855</v>
      </c>
      <c r="C25" s="18">
        <v>1716.1</v>
      </c>
      <c r="D25" s="19">
        <v>1.2</v>
      </c>
      <c r="E25" s="19">
        <v>2.6</v>
      </c>
    </row>
    <row r="26" spans="1:6" ht="16.5" customHeight="1" x14ac:dyDescent="0.3">
      <c r="A26" s="17">
        <v>3</v>
      </c>
      <c r="B26" s="18">
        <v>11462079</v>
      </c>
      <c r="C26" s="18">
        <v>1716.6</v>
      </c>
      <c r="D26" s="19">
        <v>1.2</v>
      </c>
      <c r="E26" s="19">
        <v>2.6</v>
      </c>
    </row>
    <row r="27" spans="1:6" ht="16.5" customHeight="1" x14ac:dyDescent="0.3">
      <c r="A27" s="17">
        <v>4</v>
      </c>
      <c r="B27" s="18">
        <v>11316614</v>
      </c>
      <c r="C27" s="18">
        <v>1730.8</v>
      </c>
      <c r="D27" s="19">
        <v>1.2</v>
      </c>
      <c r="E27" s="19">
        <v>2.6</v>
      </c>
    </row>
    <row r="28" spans="1:6" ht="16.5" customHeight="1" x14ac:dyDescent="0.3">
      <c r="A28" s="17">
        <v>5</v>
      </c>
      <c r="B28" s="18">
        <v>11340650</v>
      </c>
      <c r="C28" s="18">
        <v>1724.1</v>
      </c>
      <c r="D28" s="19">
        <v>1.2</v>
      </c>
      <c r="E28" s="19">
        <v>2.6</v>
      </c>
    </row>
    <row r="29" spans="1:6" ht="16.5" customHeight="1" x14ac:dyDescent="0.3">
      <c r="A29" s="17">
        <v>6</v>
      </c>
      <c r="B29" s="21">
        <v>11406053</v>
      </c>
      <c r="C29" s="21">
        <v>1708.3</v>
      </c>
      <c r="D29" s="22">
        <v>1.2</v>
      </c>
      <c r="E29" s="22">
        <v>2.6</v>
      </c>
    </row>
    <row r="30" spans="1:6" ht="16.5" customHeight="1" x14ac:dyDescent="0.3">
      <c r="A30" s="23" t="s">
        <v>18</v>
      </c>
      <c r="B30" s="24">
        <f>AVERAGE(B24:B29)</f>
        <v>11342210.666666666</v>
      </c>
      <c r="C30" s="25">
        <f>AVERAGE(C24:C29)</f>
        <v>1719.3499999999997</v>
      </c>
      <c r="D30" s="26">
        <f>AVERAGE(D24:D29)</f>
        <v>1.2</v>
      </c>
      <c r="E30" s="26">
        <f>AVERAGE(E24:E29)</f>
        <v>2.6</v>
      </c>
    </row>
    <row r="31" spans="1:6" ht="16.5" customHeight="1" x14ac:dyDescent="0.3">
      <c r="A31" s="27" t="s">
        <v>19</v>
      </c>
      <c r="B31" s="28">
        <f>(STDEV(B24:B29)/B30)</f>
        <v>7.0787917051285997E-3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155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99.3</v>
      </c>
      <c r="C40" s="10"/>
      <c r="D40" s="10"/>
      <c r="E40" s="10"/>
    </row>
    <row r="41" spans="1:6" ht="16.5" customHeight="1" x14ac:dyDescent="0.3">
      <c r="A41" s="7" t="s">
        <v>8</v>
      </c>
      <c r="B41" s="12">
        <v>11.65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0.11650000000000001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11243013</v>
      </c>
      <c r="C45" s="18">
        <v>1720.2</v>
      </c>
      <c r="D45" s="19">
        <v>1.2</v>
      </c>
      <c r="E45" s="20">
        <v>2.6</v>
      </c>
    </row>
    <row r="46" spans="1:6" ht="16.5" customHeight="1" x14ac:dyDescent="0.3">
      <c r="A46" s="17">
        <v>2</v>
      </c>
      <c r="B46" s="18">
        <v>11284855</v>
      </c>
      <c r="C46" s="18">
        <v>1716.1</v>
      </c>
      <c r="D46" s="19">
        <v>1.2</v>
      </c>
      <c r="E46" s="19">
        <v>2.6</v>
      </c>
    </row>
    <row r="47" spans="1:6" ht="16.5" customHeight="1" x14ac:dyDescent="0.3">
      <c r="A47" s="17">
        <v>3</v>
      </c>
      <c r="B47" s="18">
        <v>11462079</v>
      </c>
      <c r="C47" s="18">
        <v>1716.6</v>
      </c>
      <c r="D47" s="19">
        <v>1.2</v>
      </c>
      <c r="E47" s="19">
        <v>2.6</v>
      </c>
    </row>
    <row r="48" spans="1:6" ht="16.5" customHeight="1" x14ac:dyDescent="0.3">
      <c r="A48" s="17">
        <v>4</v>
      </c>
      <c r="B48" s="18">
        <v>11316614</v>
      </c>
      <c r="C48" s="18">
        <v>1730.8</v>
      </c>
      <c r="D48" s="19">
        <v>1.2</v>
      </c>
      <c r="E48" s="19">
        <v>2.6</v>
      </c>
    </row>
    <row r="49" spans="1:7" ht="16.5" customHeight="1" x14ac:dyDescent="0.3">
      <c r="A49" s="17">
        <v>5</v>
      </c>
      <c r="B49" s="18">
        <v>11340650</v>
      </c>
      <c r="C49" s="18">
        <v>1724.1</v>
      </c>
      <c r="D49" s="19">
        <v>1.2</v>
      </c>
      <c r="E49" s="19">
        <v>2.6</v>
      </c>
    </row>
    <row r="50" spans="1:7" ht="16.5" customHeight="1" x14ac:dyDescent="0.3">
      <c r="A50" s="17">
        <v>6</v>
      </c>
      <c r="B50" s="21">
        <v>11406053</v>
      </c>
      <c r="C50" s="21">
        <v>1708.3</v>
      </c>
      <c r="D50" s="22">
        <v>1.2</v>
      </c>
      <c r="E50" s="22">
        <v>2.6</v>
      </c>
    </row>
    <row r="51" spans="1:7" ht="16.5" customHeight="1" x14ac:dyDescent="0.3">
      <c r="A51" s="23" t="s">
        <v>18</v>
      </c>
      <c r="B51" s="24">
        <f>AVERAGE(B45:B50)</f>
        <v>11342210.666666666</v>
      </c>
      <c r="C51" s="25">
        <f>AVERAGE(C45:C50)</f>
        <v>1719.3499999999997</v>
      </c>
      <c r="D51" s="26">
        <f>AVERAGE(D45:D50)</f>
        <v>1.2</v>
      </c>
      <c r="E51" s="26">
        <f>AVERAGE(E45:E50)</f>
        <v>2.6</v>
      </c>
    </row>
    <row r="52" spans="1:7" ht="16.5" customHeight="1" x14ac:dyDescent="0.3">
      <c r="A52" s="27" t="s">
        <v>19</v>
      </c>
      <c r="B52" s="28">
        <f>(STDEV(B45:B50)/B51)</f>
        <v>7.0787917051285997E-3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535" t="s">
        <v>26</v>
      </c>
      <c r="C59" s="53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156</v>
      </c>
      <c r="C60" s="48"/>
      <c r="E60" s="48" t="s">
        <v>157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zoomScale="68" zoomScaleNormal="68" workbookViewId="0">
      <selection activeCell="G47" sqref="G47"/>
    </sheetView>
  </sheetViews>
  <sheetFormatPr defaultRowHeight="13.5" x14ac:dyDescent="0.25"/>
  <cols>
    <col min="1" max="1" width="27.5703125" style="460" customWidth="1"/>
    <col min="2" max="2" width="20.42578125" style="460" customWidth="1"/>
    <col min="3" max="3" width="31.85546875" style="460" customWidth="1"/>
    <col min="4" max="4" width="25.85546875" style="460" customWidth="1"/>
    <col min="5" max="5" width="25.7109375" style="460" customWidth="1"/>
    <col min="6" max="6" width="23.140625" style="460" customWidth="1"/>
    <col min="7" max="7" width="28.42578125" style="460" customWidth="1"/>
    <col min="8" max="8" width="21.5703125" style="460" customWidth="1"/>
    <col min="9" max="9" width="9.140625" style="460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534" t="s">
        <v>0</v>
      </c>
      <c r="B15" s="534"/>
      <c r="C15" s="534"/>
      <c r="D15" s="534"/>
      <c r="E15" s="534"/>
    </row>
    <row r="16" spans="1:6" ht="16.5" customHeight="1" x14ac:dyDescent="0.3">
      <c r="A16" s="228" t="s">
        <v>1</v>
      </c>
      <c r="B16" s="59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229"/>
    </row>
    <row r="18" spans="1:5" ht="16.5" customHeight="1" x14ac:dyDescent="0.3">
      <c r="A18" s="75" t="s">
        <v>4</v>
      </c>
      <c r="B18" s="460" t="s">
        <v>163</v>
      </c>
      <c r="C18" s="229"/>
      <c r="D18" s="229"/>
      <c r="E18" s="229"/>
    </row>
    <row r="19" spans="1:5" ht="16.5" customHeight="1" x14ac:dyDescent="0.3">
      <c r="A19" s="75" t="s">
        <v>6</v>
      </c>
      <c r="B19" s="12">
        <v>99.3</v>
      </c>
      <c r="C19" s="229"/>
      <c r="D19" s="229"/>
      <c r="E19" s="229"/>
    </row>
    <row r="20" spans="1:5" ht="16.5" customHeight="1" x14ac:dyDescent="0.3">
      <c r="A20" s="8" t="s">
        <v>8</v>
      </c>
      <c r="B20" s="12">
        <v>13.33</v>
      </c>
      <c r="C20" s="229"/>
      <c r="D20" s="229"/>
      <c r="E20" s="229"/>
    </row>
    <row r="21" spans="1:5" ht="16.5" customHeight="1" x14ac:dyDescent="0.3">
      <c r="A21" s="8" t="s">
        <v>10</v>
      </c>
      <c r="B21" s="13">
        <f>B20/100*10/100</f>
        <v>1.333E-2</v>
      </c>
      <c r="C21" s="229"/>
      <c r="D21" s="229"/>
      <c r="E21" s="229"/>
    </row>
    <row r="22" spans="1:5" ht="15.75" customHeight="1" x14ac:dyDescent="0.25">
      <c r="A22" s="229"/>
      <c r="B22" s="229" t="s">
        <v>12</v>
      </c>
      <c r="C22" s="229"/>
      <c r="D22" s="229"/>
      <c r="E22" s="229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4095997</v>
      </c>
      <c r="C24" s="18">
        <v>2007.6</v>
      </c>
      <c r="D24" s="19">
        <v>1.2</v>
      </c>
      <c r="E24" s="20">
        <v>3.8</v>
      </c>
    </row>
    <row r="25" spans="1:5" ht="16.5" customHeight="1" x14ac:dyDescent="0.3">
      <c r="A25" s="17">
        <v>2</v>
      </c>
      <c r="B25" s="18">
        <v>4118283</v>
      </c>
      <c r="C25" s="18">
        <v>2007.6</v>
      </c>
      <c r="D25" s="19">
        <v>1.2</v>
      </c>
      <c r="E25" s="19">
        <v>3.8</v>
      </c>
    </row>
    <row r="26" spans="1:5" ht="16.5" customHeight="1" x14ac:dyDescent="0.3">
      <c r="A26" s="17">
        <v>3</v>
      </c>
      <c r="B26" s="18">
        <v>4182770</v>
      </c>
      <c r="C26" s="18">
        <v>2000.3</v>
      </c>
      <c r="D26" s="19">
        <v>1.2</v>
      </c>
      <c r="E26" s="19">
        <v>3.8</v>
      </c>
    </row>
    <row r="27" spans="1:5" ht="16.5" customHeight="1" x14ac:dyDescent="0.3">
      <c r="A27" s="17">
        <v>4</v>
      </c>
      <c r="B27" s="18">
        <v>4130910</v>
      </c>
      <c r="C27" s="18">
        <v>2000</v>
      </c>
      <c r="D27" s="19">
        <v>1.2</v>
      </c>
      <c r="E27" s="19">
        <v>3.8</v>
      </c>
    </row>
    <row r="28" spans="1:5" ht="16.5" customHeight="1" x14ac:dyDescent="0.3">
      <c r="A28" s="17">
        <v>5</v>
      </c>
      <c r="B28" s="18">
        <v>4138063</v>
      </c>
      <c r="C28" s="18">
        <v>1999.5</v>
      </c>
      <c r="D28" s="19">
        <v>1.2</v>
      </c>
      <c r="E28" s="19">
        <v>3.8</v>
      </c>
    </row>
    <row r="29" spans="1:5" ht="16.5" customHeight="1" x14ac:dyDescent="0.3">
      <c r="A29" s="17">
        <v>6</v>
      </c>
      <c r="B29" s="21">
        <v>4157957</v>
      </c>
      <c r="C29" s="21">
        <v>1989</v>
      </c>
      <c r="D29" s="22">
        <v>1.2</v>
      </c>
      <c r="E29" s="22">
        <v>3.8</v>
      </c>
    </row>
    <row r="30" spans="1:5" ht="16.5" customHeight="1" x14ac:dyDescent="0.3">
      <c r="A30" s="23" t="s">
        <v>18</v>
      </c>
      <c r="B30" s="24">
        <f>AVERAGE(B24:B29)</f>
        <v>4137330</v>
      </c>
      <c r="C30" s="25">
        <f>AVERAGE(C24:C29)</f>
        <v>2000.6666666666667</v>
      </c>
      <c r="D30" s="26">
        <f>AVERAGE(D24:D29)</f>
        <v>1.2</v>
      </c>
      <c r="E30" s="26">
        <f>AVERAGE(E24:E29)</f>
        <v>3.8000000000000003</v>
      </c>
    </row>
    <row r="31" spans="1:5" ht="16.5" customHeight="1" x14ac:dyDescent="0.3">
      <c r="A31" s="27" t="s">
        <v>19</v>
      </c>
      <c r="B31" s="28">
        <f>(STDEV(B24:B29)/B30)</f>
        <v>7.3337476401494897E-3</v>
      </c>
      <c r="C31" s="29"/>
      <c r="D31" s="29"/>
      <c r="E31" s="30"/>
    </row>
    <row r="32" spans="1:5" s="460" customFormat="1" ht="16.5" customHeight="1" x14ac:dyDescent="0.3">
      <c r="A32" s="31" t="s">
        <v>20</v>
      </c>
      <c r="B32" s="32">
        <f>COUNT(B24:B29)</f>
        <v>6</v>
      </c>
      <c r="C32" s="33"/>
      <c r="D32" s="73"/>
      <c r="E32" s="35"/>
    </row>
    <row r="33" spans="1:5" s="460" customFormat="1" ht="15.75" customHeight="1" x14ac:dyDescent="0.25">
      <c r="A33" s="229"/>
      <c r="B33" s="229"/>
      <c r="C33" s="229"/>
      <c r="D33" s="229"/>
      <c r="E33" s="229"/>
    </row>
    <row r="34" spans="1:5" s="460" customFormat="1" ht="16.5" customHeight="1" x14ac:dyDescent="0.3">
      <c r="A34" s="75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75"/>
      <c r="B35" s="40" t="s">
        <v>23</v>
      </c>
      <c r="C35" s="39"/>
      <c r="D35" s="39"/>
      <c r="E35" s="39"/>
    </row>
    <row r="36" spans="1:5" ht="16.5" customHeight="1" x14ac:dyDescent="0.3">
      <c r="A36" s="75"/>
      <c r="B36" s="40" t="s">
        <v>24</v>
      </c>
      <c r="C36" s="39"/>
      <c r="D36" s="39"/>
      <c r="E36" s="39"/>
    </row>
    <row r="37" spans="1:5" ht="15.75" customHeight="1" x14ac:dyDescent="0.25">
      <c r="A37" s="229"/>
      <c r="B37" s="229"/>
      <c r="C37" s="229"/>
      <c r="D37" s="229"/>
      <c r="E37" s="229"/>
    </row>
    <row r="38" spans="1:5" ht="16.5" customHeight="1" x14ac:dyDescent="0.3">
      <c r="A38" s="228" t="s">
        <v>1</v>
      </c>
      <c r="B38" s="59" t="s">
        <v>25</v>
      </c>
    </row>
    <row r="39" spans="1:5" ht="16.5" customHeight="1" x14ac:dyDescent="0.3">
      <c r="A39" s="75" t="s">
        <v>4</v>
      </c>
      <c r="B39" s="8" t="s">
        <v>163</v>
      </c>
      <c r="C39" s="229"/>
      <c r="D39" s="229"/>
      <c r="E39" s="229"/>
    </row>
    <row r="40" spans="1:5" ht="16.5" customHeight="1" x14ac:dyDescent="0.3">
      <c r="A40" s="75" t="s">
        <v>6</v>
      </c>
      <c r="B40" s="12">
        <v>99.3</v>
      </c>
      <c r="C40" s="229"/>
      <c r="D40" s="229"/>
      <c r="E40" s="229"/>
    </row>
    <row r="41" spans="1:5" ht="16.5" customHeight="1" x14ac:dyDescent="0.3">
      <c r="A41" s="8" t="s">
        <v>8</v>
      </c>
      <c r="B41" s="12">
        <v>13.33</v>
      </c>
      <c r="C41" s="229"/>
      <c r="D41" s="229"/>
      <c r="E41" s="229"/>
    </row>
    <row r="42" spans="1:5" ht="16.5" customHeight="1" x14ac:dyDescent="0.3">
      <c r="A42" s="8" t="s">
        <v>10</v>
      </c>
      <c r="B42" s="13">
        <v>1.333E-2</v>
      </c>
      <c r="C42" s="229"/>
      <c r="D42" s="229"/>
      <c r="E42" s="229"/>
    </row>
    <row r="43" spans="1:5" ht="15.75" customHeight="1" x14ac:dyDescent="0.25">
      <c r="A43" s="229"/>
      <c r="B43" s="229"/>
      <c r="C43" s="229"/>
      <c r="D43" s="229"/>
      <c r="E43" s="229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>
        <v>4095997</v>
      </c>
      <c r="C45" s="18">
        <v>2007.6</v>
      </c>
      <c r="D45" s="19">
        <v>1.2</v>
      </c>
      <c r="E45" s="20">
        <v>3.8</v>
      </c>
    </row>
    <row r="46" spans="1:5" ht="16.5" customHeight="1" x14ac:dyDescent="0.3">
      <c r="A46" s="17">
        <v>2</v>
      </c>
      <c r="B46" s="18">
        <v>4118283</v>
      </c>
      <c r="C46" s="18">
        <v>2007.6</v>
      </c>
      <c r="D46" s="19">
        <v>1.2</v>
      </c>
      <c r="E46" s="19">
        <v>3.8</v>
      </c>
    </row>
    <row r="47" spans="1:5" ht="16.5" customHeight="1" x14ac:dyDescent="0.3">
      <c r="A47" s="17">
        <v>3</v>
      </c>
      <c r="B47" s="18">
        <v>4182770</v>
      </c>
      <c r="C47" s="18">
        <v>2000.3</v>
      </c>
      <c r="D47" s="19">
        <v>1.2</v>
      </c>
      <c r="E47" s="19">
        <v>3.8</v>
      </c>
    </row>
    <row r="48" spans="1:5" ht="16.5" customHeight="1" x14ac:dyDescent="0.3">
      <c r="A48" s="17">
        <v>4</v>
      </c>
      <c r="B48" s="18">
        <v>4130910</v>
      </c>
      <c r="C48" s="18">
        <v>2000</v>
      </c>
      <c r="D48" s="19">
        <v>1.2</v>
      </c>
      <c r="E48" s="19">
        <v>3.8</v>
      </c>
    </row>
    <row r="49" spans="1:7" ht="16.5" customHeight="1" x14ac:dyDescent="0.3">
      <c r="A49" s="17">
        <v>5</v>
      </c>
      <c r="B49" s="18">
        <v>4138063</v>
      </c>
      <c r="C49" s="18">
        <v>1999.5</v>
      </c>
      <c r="D49" s="19">
        <v>1.2</v>
      </c>
      <c r="E49" s="19">
        <v>3.8</v>
      </c>
    </row>
    <row r="50" spans="1:7" ht="16.5" customHeight="1" x14ac:dyDescent="0.3">
      <c r="A50" s="17">
        <v>6</v>
      </c>
      <c r="B50" s="21">
        <v>4157957</v>
      </c>
      <c r="C50" s="21">
        <v>1989</v>
      </c>
      <c r="D50" s="22">
        <v>1.2</v>
      </c>
      <c r="E50" s="22">
        <v>3.8</v>
      </c>
    </row>
    <row r="51" spans="1:7" ht="16.5" customHeight="1" x14ac:dyDescent="0.3">
      <c r="A51" s="23" t="s">
        <v>18</v>
      </c>
      <c r="B51" s="24">
        <f>AVERAGE(B45:B50)</f>
        <v>4137330</v>
      </c>
      <c r="C51" s="25">
        <f>AVERAGE(C45:C50)</f>
        <v>2000.6666666666667</v>
      </c>
      <c r="D51" s="26">
        <f>AVERAGE(D45:D50)</f>
        <v>1.2</v>
      </c>
      <c r="E51" s="26">
        <f>AVERAGE(E45:E50)</f>
        <v>3.8000000000000003</v>
      </c>
    </row>
    <row r="52" spans="1:7" ht="16.5" customHeight="1" x14ac:dyDescent="0.3">
      <c r="A52" s="27" t="s">
        <v>19</v>
      </c>
      <c r="B52" s="28">
        <f>(STDEV(B45:B50)/B51)</f>
        <v>7.3337476401494897E-3</v>
      </c>
      <c r="C52" s="29"/>
      <c r="D52" s="29"/>
      <c r="E52" s="30"/>
    </row>
    <row r="53" spans="1:7" s="460" customFormat="1" ht="16.5" customHeight="1" x14ac:dyDescent="0.3">
      <c r="A53" s="31" t="s">
        <v>20</v>
      </c>
      <c r="B53" s="32">
        <f>COUNT(B45:B50)</f>
        <v>6</v>
      </c>
      <c r="C53" s="33"/>
      <c r="D53" s="73"/>
      <c r="E53" s="35"/>
    </row>
    <row r="54" spans="1:7" s="460" customFormat="1" ht="15.75" customHeight="1" x14ac:dyDescent="0.25">
      <c r="A54" s="229"/>
      <c r="B54" s="229"/>
      <c r="C54" s="229"/>
      <c r="D54" s="229"/>
      <c r="E54" s="229"/>
    </row>
    <row r="55" spans="1:7" s="460" customFormat="1" ht="16.5" customHeight="1" x14ac:dyDescent="0.3">
      <c r="A55" s="75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75"/>
      <c r="B56" s="40" t="s">
        <v>23</v>
      </c>
      <c r="C56" s="39"/>
      <c r="D56" s="39"/>
      <c r="E56" s="39"/>
    </row>
    <row r="57" spans="1:7" ht="16.5" customHeight="1" x14ac:dyDescent="0.3">
      <c r="A57" s="75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390"/>
      <c r="D58" s="43"/>
      <c r="F58" s="44"/>
      <c r="G58" s="44"/>
    </row>
    <row r="59" spans="1:7" ht="15" customHeight="1" x14ac:dyDescent="0.3">
      <c r="B59" s="535" t="s">
        <v>26</v>
      </c>
      <c r="C59" s="535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 t="s">
        <v>156</v>
      </c>
      <c r="C60" s="49"/>
      <c r="E60" s="49" t="s">
        <v>157</v>
      </c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96" zoomScale="46" zoomScaleNormal="40" zoomScalePageLayoutView="46" workbookViewId="0">
      <selection activeCell="C43" sqref="C4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44" t="s">
        <v>45</v>
      </c>
      <c r="B1" s="544"/>
      <c r="C1" s="544"/>
      <c r="D1" s="544"/>
      <c r="E1" s="544"/>
      <c r="F1" s="544"/>
      <c r="G1" s="544"/>
      <c r="H1" s="544"/>
      <c r="I1" s="544"/>
    </row>
    <row r="2" spans="1:9" ht="18.75" customHeight="1" x14ac:dyDescent="0.25">
      <c r="A2" s="544"/>
      <c r="B2" s="544"/>
      <c r="C2" s="544"/>
      <c r="D2" s="544"/>
      <c r="E2" s="544"/>
      <c r="F2" s="544"/>
      <c r="G2" s="544"/>
      <c r="H2" s="544"/>
      <c r="I2" s="544"/>
    </row>
    <row r="3" spans="1:9" ht="18.75" customHeight="1" x14ac:dyDescent="0.25">
      <c r="A3" s="544"/>
      <c r="B3" s="544"/>
      <c r="C3" s="544"/>
      <c r="D3" s="544"/>
      <c r="E3" s="544"/>
      <c r="F3" s="544"/>
      <c r="G3" s="544"/>
      <c r="H3" s="544"/>
      <c r="I3" s="544"/>
    </row>
    <row r="4" spans="1:9" ht="18.75" customHeight="1" x14ac:dyDescent="0.25">
      <c r="A4" s="544"/>
      <c r="B4" s="544"/>
      <c r="C4" s="544"/>
      <c r="D4" s="544"/>
      <c r="E4" s="544"/>
      <c r="F4" s="544"/>
      <c r="G4" s="544"/>
      <c r="H4" s="544"/>
      <c r="I4" s="544"/>
    </row>
    <row r="5" spans="1:9" ht="18.75" customHeight="1" x14ac:dyDescent="0.25">
      <c r="A5" s="544"/>
      <c r="B5" s="544"/>
      <c r="C5" s="544"/>
      <c r="D5" s="544"/>
      <c r="E5" s="544"/>
      <c r="F5" s="544"/>
      <c r="G5" s="544"/>
      <c r="H5" s="544"/>
      <c r="I5" s="544"/>
    </row>
    <row r="6" spans="1:9" ht="18.75" customHeight="1" x14ac:dyDescent="0.25">
      <c r="A6" s="544"/>
      <c r="B6" s="544"/>
      <c r="C6" s="544"/>
      <c r="D6" s="544"/>
      <c r="E6" s="544"/>
      <c r="F6" s="544"/>
      <c r="G6" s="544"/>
      <c r="H6" s="544"/>
      <c r="I6" s="544"/>
    </row>
    <row r="7" spans="1:9" ht="18.75" customHeight="1" x14ac:dyDescent="0.25">
      <c r="A7" s="544"/>
      <c r="B7" s="544"/>
      <c r="C7" s="544"/>
      <c r="D7" s="544"/>
      <c r="E7" s="544"/>
      <c r="F7" s="544"/>
      <c r="G7" s="544"/>
      <c r="H7" s="544"/>
      <c r="I7" s="544"/>
    </row>
    <row r="8" spans="1:9" x14ac:dyDescent="0.25">
      <c r="A8" s="545" t="s">
        <v>46</v>
      </c>
      <c r="B8" s="545"/>
      <c r="C8" s="545"/>
      <c r="D8" s="545"/>
      <c r="E8" s="545"/>
      <c r="F8" s="545"/>
      <c r="G8" s="545"/>
      <c r="H8" s="545"/>
      <c r="I8" s="545"/>
    </row>
    <row r="9" spans="1:9" x14ac:dyDescent="0.25">
      <c r="A9" s="545"/>
      <c r="B9" s="545"/>
      <c r="C9" s="545"/>
      <c r="D9" s="545"/>
      <c r="E9" s="545"/>
      <c r="F9" s="545"/>
      <c r="G9" s="545"/>
      <c r="H9" s="545"/>
      <c r="I9" s="545"/>
    </row>
    <row r="10" spans="1:9" x14ac:dyDescent="0.25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9" x14ac:dyDescent="0.25">
      <c r="A11" s="545"/>
      <c r="B11" s="545"/>
      <c r="C11" s="545"/>
      <c r="D11" s="545"/>
      <c r="E11" s="545"/>
      <c r="F11" s="545"/>
      <c r="G11" s="545"/>
      <c r="H11" s="545"/>
      <c r="I11" s="545"/>
    </row>
    <row r="12" spans="1:9" x14ac:dyDescent="0.25">
      <c r="A12" s="545"/>
      <c r="B12" s="545"/>
      <c r="C12" s="545"/>
      <c r="D12" s="545"/>
      <c r="E12" s="545"/>
      <c r="F12" s="545"/>
      <c r="G12" s="545"/>
      <c r="H12" s="545"/>
      <c r="I12" s="545"/>
    </row>
    <row r="13" spans="1:9" x14ac:dyDescent="0.25">
      <c r="A13" s="545"/>
      <c r="B13" s="545"/>
      <c r="C13" s="545"/>
      <c r="D13" s="545"/>
      <c r="E13" s="545"/>
      <c r="F13" s="545"/>
      <c r="G13" s="545"/>
      <c r="H13" s="545"/>
      <c r="I13" s="545"/>
    </row>
    <row r="14" spans="1:9" x14ac:dyDescent="0.25">
      <c r="A14" s="545"/>
      <c r="B14" s="545"/>
      <c r="C14" s="545"/>
      <c r="D14" s="545"/>
      <c r="E14" s="545"/>
      <c r="F14" s="545"/>
      <c r="G14" s="545"/>
      <c r="H14" s="545"/>
      <c r="I14" s="545"/>
    </row>
    <row r="15" spans="1:9" ht="19.5" customHeight="1" x14ac:dyDescent="0.3">
      <c r="A15" s="338"/>
    </row>
    <row r="16" spans="1:9" ht="19.5" customHeight="1" x14ac:dyDescent="0.3">
      <c r="A16" s="549" t="s">
        <v>31</v>
      </c>
      <c r="B16" s="550"/>
      <c r="C16" s="550"/>
      <c r="D16" s="550"/>
      <c r="E16" s="550"/>
      <c r="F16" s="550"/>
      <c r="G16" s="550"/>
      <c r="H16" s="574"/>
    </row>
    <row r="17" spans="1:14" ht="20.25" customHeight="1" x14ac:dyDescent="0.25">
      <c r="A17" s="575" t="s">
        <v>47</v>
      </c>
      <c r="B17" s="575"/>
      <c r="C17" s="575"/>
      <c r="D17" s="575"/>
      <c r="E17" s="575"/>
      <c r="F17" s="575"/>
      <c r="G17" s="575"/>
      <c r="H17" s="575"/>
    </row>
    <row r="18" spans="1:14" ht="26.25" customHeight="1" x14ac:dyDescent="0.4">
      <c r="A18" s="340" t="s">
        <v>33</v>
      </c>
      <c r="B18" s="573" t="s">
        <v>5</v>
      </c>
      <c r="C18" s="573"/>
      <c r="D18" s="486"/>
      <c r="E18" s="341"/>
      <c r="F18" s="342"/>
      <c r="G18" s="342"/>
      <c r="H18" s="342"/>
    </row>
    <row r="19" spans="1:14" ht="26.25" customHeight="1" x14ac:dyDescent="0.4">
      <c r="A19" s="340" t="s">
        <v>34</v>
      </c>
      <c r="B19" s="343" t="s">
        <v>7</v>
      </c>
      <c r="C19" s="495">
        <v>1</v>
      </c>
      <c r="D19" s="342"/>
      <c r="E19" s="342"/>
      <c r="F19" s="342"/>
      <c r="G19" s="342"/>
      <c r="H19" s="342"/>
    </row>
    <row r="20" spans="1:14" ht="26.25" customHeight="1" x14ac:dyDescent="0.4">
      <c r="A20" s="340" t="s">
        <v>35</v>
      </c>
      <c r="B20" s="576" t="s">
        <v>9</v>
      </c>
      <c r="C20" s="576"/>
      <c r="D20" s="342"/>
      <c r="E20" s="342"/>
      <c r="F20" s="342"/>
      <c r="G20" s="342"/>
      <c r="H20" s="342"/>
    </row>
    <row r="21" spans="1:14" ht="26.25" customHeight="1" x14ac:dyDescent="0.4">
      <c r="A21" s="340" t="s">
        <v>36</v>
      </c>
      <c r="B21" s="576" t="s">
        <v>158</v>
      </c>
      <c r="C21" s="576"/>
      <c r="D21" s="576"/>
      <c r="E21" s="576"/>
      <c r="F21" s="576"/>
      <c r="G21" s="576"/>
      <c r="H21" s="576"/>
      <c r="I21" s="344"/>
    </row>
    <row r="22" spans="1:14" ht="26.25" customHeight="1" x14ac:dyDescent="0.4">
      <c r="A22" s="340" t="s">
        <v>37</v>
      </c>
      <c r="B22" s="345" t="s">
        <v>159</v>
      </c>
      <c r="C22" s="342"/>
      <c r="D22" s="342"/>
      <c r="E22" s="342"/>
      <c r="F22" s="342"/>
      <c r="G22" s="342"/>
      <c r="H22" s="342"/>
    </row>
    <row r="23" spans="1:14" ht="26.25" customHeight="1" x14ac:dyDescent="0.4">
      <c r="A23" s="340" t="s">
        <v>38</v>
      </c>
      <c r="B23" s="345" t="s">
        <v>160</v>
      </c>
      <c r="C23" s="342"/>
      <c r="D23" s="342"/>
      <c r="E23" s="342"/>
      <c r="F23" s="342"/>
      <c r="G23" s="342"/>
      <c r="H23" s="342"/>
    </row>
    <row r="24" spans="1:14" ht="18.75" x14ac:dyDescent="0.3">
      <c r="A24" s="340"/>
      <c r="B24" s="346"/>
    </row>
    <row r="25" spans="1:14" ht="18.75" x14ac:dyDescent="0.3">
      <c r="A25" s="347" t="s">
        <v>1</v>
      </c>
      <c r="B25" s="346"/>
    </row>
    <row r="26" spans="1:14" ht="26.25" customHeight="1" x14ac:dyDescent="0.4">
      <c r="A26" s="348" t="s">
        <v>4</v>
      </c>
      <c r="B26" s="573" t="s">
        <v>161</v>
      </c>
      <c r="C26" s="573"/>
    </row>
    <row r="27" spans="1:14" ht="26.25" customHeight="1" x14ac:dyDescent="0.4">
      <c r="A27" s="349" t="s">
        <v>61</v>
      </c>
      <c r="B27" s="552" t="s">
        <v>162</v>
      </c>
      <c r="C27" s="552"/>
    </row>
    <row r="28" spans="1:14" ht="27" customHeight="1" x14ac:dyDescent="0.4">
      <c r="A28" s="349" t="s">
        <v>6</v>
      </c>
      <c r="B28" s="350">
        <v>99.3</v>
      </c>
    </row>
    <row r="29" spans="1:14" s="14" customFormat="1" ht="27" customHeight="1" x14ac:dyDescent="0.4">
      <c r="A29" s="349" t="s">
        <v>62</v>
      </c>
      <c r="B29" s="351">
        <v>0</v>
      </c>
      <c r="C29" s="566" t="s">
        <v>109</v>
      </c>
      <c r="D29" s="567"/>
      <c r="E29" s="567"/>
      <c r="F29" s="567"/>
      <c r="G29" s="568"/>
      <c r="I29" s="352"/>
      <c r="J29" s="352"/>
      <c r="K29" s="352"/>
      <c r="L29" s="352"/>
    </row>
    <row r="30" spans="1:14" s="14" customFormat="1" ht="19.5" customHeight="1" x14ac:dyDescent="0.3">
      <c r="A30" s="349" t="s">
        <v>64</v>
      </c>
      <c r="B30" s="353">
        <f>B28-B29</f>
        <v>99.3</v>
      </c>
      <c r="C30" s="354"/>
      <c r="D30" s="354"/>
      <c r="E30" s="354"/>
      <c r="F30" s="354"/>
      <c r="G30" s="355"/>
      <c r="I30" s="352"/>
      <c r="J30" s="352"/>
      <c r="K30" s="352"/>
      <c r="L30" s="352"/>
    </row>
    <row r="31" spans="1:14" s="14" customFormat="1" ht="27" customHeight="1" x14ac:dyDescent="0.4">
      <c r="A31" s="349" t="s">
        <v>65</v>
      </c>
      <c r="B31" s="356">
        <v>1</v>
      </c>
      <c r="C31" s="555" t="s">
        <v>66</v>
      </c>
      <c r="D31" s="556"/>
      <c r="E31" s="556"/>
      <c r="F31" s="556"/>
      <c r="G31" s="556"/>
      <c r="H31" s="569"/>
      <c r="I31" s="352"/>
      <c r="J31" s="352"/>
      <c r="K31" s="352"/>
      <c r="L31" s="352"/>
    </row>
    <row r="32" spans="1:14" s="14" customFormat="1" ht="27" customHeight="1" x14ac:dyDescent="0.4">
      <c r="A32" s="349" t="s">
        <v>67</v>
      </c>
      <c r="B32" s="356">
        <v>1</v>
      </c>
      <c r="C32" s="555" t="s">
        <v>68</v>
      </c>
      <c r="D32" s="556"/>
      <c r="E32" s="556"/>
      <c r="F32" s="556"/>
      <c r="G32" s="556"/>
      <c r="H32" s="569"/>
      <c r="I32" s="352"/>
      <c r="J32" s="352"/>
      <c r="K32" s="352"/>
      <c r="L32" s="357"/>
      <c r="M32" s="357"/>
      <c r="N32" s="358"/>
    </row>
    <row r="33" spans="1:14" s="14" customFormat="1" ht="17.25" customHeight="1" x14ac:dyDescent="0.3">
      <c r="A33" s="349"/>
      <c r="B33" s="359"/>
      <c r="C33" s="360"/>
      <c r="D33" s="360"/>
      <c r="E33" s="360"/>
      <c r="F33" s="360"/>
      <c r="G33" s="360"/>
      <c r="H33" s="360"/>
      <c r="I33" s="352"/>
      <c r="J33" s="352"/>
      <c r="K33" s="352"/>
      <c r="L33" s="357"/>
      <c r="M33" s="357"/>
      <c r="N33" s="358"/>
    </row>
    <row r="34" spans="1:14" s="14" customFormat="1" ht="18.75" x14ac:dyDescent="0.3">
      <c r="A34" s="349" t="s">
        <v>69</v>
      </c>
      <c r="B34" s="361">
        <f>B31/B32</f>
        <v>1</v>
      </c>
      <c r="C34" s="339" t="s">
        <v>70</v>
      </c>
      <c r="D34" s="339"/>
      <c r="E34" s="339"/>
      <c r="F34" s="339"/>
      <c r="G34" s="339"/>
      <c r="I34" s="352"/>
      <c r="J34" s="352"/>
      <c r="K34" s="352"/>
      <c r="L34" s="357"/>
      <c r="M34" s="357"/>
      <c r="N34" s="358"/>
    </row>
    <row r="35" spans="1:14" s="14" customFormat="1" ht="19.5" customHeight="1" x14ac:dyDescent="0.3">
      <c r="A35" s="349"/>
      <c r="B35" s="353"/>
      <c r="G35" s="339"/>
      <c r="I35" s="352"/>
      <c r="J35" s="352"/>
      <c r="K35" s="352"/>
      <c r="L35" s="357"/>
      <c r="M35" s="357"/>
      <c r="N35" s="358"/>
    </row>
    <row r="36" spans="1:14" s="14" customFormat="1" ht="27" customHeight="1" x14ac:dyDescent="0.4">
      <c r="A36" s="362" t="s">
        <v>127</v>
      </c>
      <c r="B36" s="363">
        <v>100</v>
      </c>
      <c r="C36" s="339"/>
      <c r="D36" s="547" t="s">
        <v>72</v>
      </c>
      <c r="E36" s="570"/>
      <c r="F36" s="547" t="s">
        <v>73</v>
      </c>
      <c r="G36" s="548"/>
      <c r="J36" s="352"/>
      <c r="K36" s="352"/>
      <c r="L36" s="357"/>
      <c r="M36" s="357"/>
      <c r="N36" s="358"/>
    </row>
    <row r="37" spans="1:14" s="14" customFormat="1" ht="27" customHeight="1" x14ac:dyDescent="0.4">
      <c r="A37" s="364" t="s">
        <v>74</v>
      </c>
      <c r="B37" s="365">
        <v>1</v>
      </c>
      <c r="C37" s="366" t="s">
        <v>75</v>
      </c>
      <c r="D37" s="367" t="s">
        <v>76</v>
      </c>
      <c r="E37" s="368" t="s">
        <v>77</v>
      </c>
      <c r="F37" s="367" t="s">
        <v>76</v>
      </c>
      <c r="G37" s="369" t="s">
        <v>77</v>
      </c>
      <c r="I37" s="370" t="s">
        <v>128</v>
      </c>
      <c r="J37" s="352"/>
      <c r="K37" s="352"/>
      <c r="L37" s="357"/>
      <c r="M37" s="357"/>
      <c r="N37" s="358"/>
    </row>
    <row r="38" spans="1:14" s="14" customFormat="1" ht="26.25" customHeight="1" x14ac:dyDescent="0.4">
      <c r="A38" s="364" t="s">
        <v>78</v>
      </c>
      <c r="B38" s="365">
        <v>1</v>
      </c>
      <c r="C38" s="371">
        <v>1</v>
      </c>
      <c r="D38" s="372">
        <v>11350530</v>
      </c>
      <c r="E38" s="373">
        <f>IF(ISBLANK(D38),"-",$D$48/$D$45*D38)</f>
        <v>9811625.5851043127</v>
      </c>
      <c r="F38" s="372">
        <v>9974713</v>
      </c>
      <c r="G38" s="374">
        <f>IF(ISBLANK(F38),"-",$D$48/$F$45*F38)</f>
        <v>9761932.164608039</v>
      </c>
      <c r="I38" s="375"/>
      <c r="J38" s="352"/>
      <c r="K38" s="352"/>
      <c r="L38" s="357"/>
      <c r="M38" s="357"/>
      <c r="N38" s="358"/>
    </row>
    <row r="39" spans="1:14" s="14" customFormat="1" ht="26.25" customHeight="1" x14ac:dyDescent="0.4">
      <c r="A39" s="364" t="s">
        <v>79</v>
      </c>
      <c r="B39" s="365">
        <v>1</v>
      </c>
      <c r="C39" s="376">
        <v>2</v>
      </c>
      <c r="D39" s="377">
        <v>11269744</v>
      </c>
      <c r="E39" s="378">
        <f>IF(ISBLANK(D39),"-",$D$48/$D$45*D39)</f>
        <v>9741792.5478348434</v>
      </c>
      <c r="F39" s="377">
        <v>9990382</v>
      </c>
      <c r="G39" s="379">
        <f>IF(ISBLANK(F39),"-",$D$48/$F$45*F39)</f>
        <v>9777266.9130952619</v>
      </c>
      <c r="I39" s="577">
        <f>ABS((F43/D43*D42)-F42)/D42</f>
        <v>1.0173388845043038E-3</v>
      </c>
      <c r="J39" s="352"/>
      <c r="K39" s="352"/>
      <c r="L39" s="357"/>
      <c r="M39" s="357"/>
      <c r="N39" s="358"/>
    </row>
    <row r="40" spans="1:14" ht="26.25" customHeight="1" x14ac:dyDescent="0.4">
      <c r="A40" s="364" t="s">
        <v>80</v>
      </c>
      <c r="B40" s="365">
        <v>1</v>
      </c>
      <c r="C40" s="376">
        <v>3</v>
      </c>
      <c r="D40" s="377">
        <v>11301647</v>
      </c>
      <c r="E40" s="378">
        <f>IF(ISBLANK(D40),"-",$D$48/$D$45*D40)</f>
        <v>9769370.1403385922</v>
      </c>
      <c r="F40" s="377">
        <v>9962332</v>
      </c>
      <c r="G40" s="379">
        <f>IF(ISBLANK(F40),"-",$D$48/$F$45*F40)</f>
        <v>9749815.2764198761</v>
      </c>
      <c r="I40" s="577"/>
      <c r="L40" s="357"/>
      <c r="M40" s="357"/>
      <c r="N40" s="380"/>
    </row>
    <row r="41" spans="1:14" ht="27" customHeight="1" x14ac:dyDescent="0.4">
      <c r="A41" s="364" t="s">
        <v>81</v>
      </c>
      <c r="B41" s="365">
        <v>1</v>
      </c>
      <c r="C41" s="381">
        <v>4</v>
      </c>
      <c r="D41" s="382"/>
      <c r="E41" s="383" t="str">
        <f>IF(ISBLANK(D41),"-",$D$48/$D$45*D41)</f>
        <v>-</v>
      </c>
      <c r="F41" s="382"/>
      <c r="G41" s="384" t="str">
        <f>IF(ISBLANK(F41),"-",$D$48/$F$45*F41)</f>
        <v>-</v>
      </c>
      <c r="I41" s="385"/>
      <c r="L41" s="357"/>
      <c r="M41" s="357"/>
      <c r="N41" s="380"/>
    </row>
    <row r="42" spans="1:14" ht="27" customHeight="1" x14ac:dyDescent="0.4">
      <c r="A42" s="364" t="s">
        <v>82</v>
      </c>
      <c r="B42" s="365">
        <v>1</v>
      </c>
      <c r="C42" s="386" t="s">
        <v>83</v>
      </c>
      <c r="D42" s="387">
        <f>AVERAGE(D38:D41)</f>
        <v>11307307</v>
      </c>
      <c r="E42" s="388">
        <f>AVERAGE(E38:E41)</f>
        <v>9774262.7577592488</v>
      </c>
      <c r="F42" s="387">
        <f>AVERAGE(F38:F41)</f>
        <v>9975809</v>
      </c>
      <c r="G42" s="389">
        <f>AVERAGE(G38:G41)</f>
        <v>9763004.784707725</v>
      </c>
      <c r="H42" s="390"/>
    </row>
    <row r="43" spans="1:14" ht="26.25" customHeight="1" x14ac:dyDescent="0.4">
      <c r="A43" s="364" t="s">
        <v>84</v>
      </c>
      <c r="B43" s="365">
        <v>1</v>
      </c>
      <c r="C43" s="391" t="s">
        <v>129</v>
      </c>
      <c r="D43" s="392">
        <v>11.65</v>
      </c>
      <c r="E43" s="380"/>
      <c r="F43" s="392">
        <v>10.29</v>
      </c>
      <c r="H43" s="390"/>
    </row>
    <row r="44" spans="1:14" ht="26.25" customHeight="1" x14ac:dyDescent="0.4">
      <c r="A44" s="364" t="s">
        <v>86</v>
      </c>
      <c r="B44" s="365">
        <v>1</v>
      </c>
      <c r="C44" s="393" t="s">
        <v>130</v>
      </c>
      <c r="D44" s="394">
        <f>D43*$B$34</f>
        <v>11.65</v>
      </c>
      <c r="E44" s="395"/>
      <c r="F44" s="394">
        <f>F43*$B$34</f>
        <v>10.29</v>
      </c>
      <c r="H44" s="390"/>
    </row>
    <row r="45" spans="1:14" ht="19.5" customHeight="1" x14ac:dyDescent="0.3">
      <c r="A45" s="364" t="s">
        <v>88</v>
      </c>
      <c r="B45" s="396">
        <f>(B44/B43)*(B42/B41)*(B40/B39)*(B38/B37)*B36</f>
        <v>100</v>
      </c>
      <c r="C45" s="393" t="s">
        <v>89</v>
      </c>
      <c r="D45" s="397">
        <f>D44*$B$30/100</f>
        <v>11.56845</v>
      </c>
      <c r="E45" s="398"/>
      <c r="F45" s="397">
        <f>F44*$B$30/100</f>
        <v>10.217969999999999</v>
      </c>
      <c r="H45" s="390"/>
    </row>
    <row r="46" spans="1:14" ht="19.5" customHeight="1" x14ac:dyDescent="0.3">
      <c r="A46" s="557" t="s">
        <v>90</v>
      </c>
      <c r="B46" s="558"/>
      <c r="C46" s="393" t="s">
        <v>91</v>
      </c>
      <c r="D46" s="399">
        <f>D45/$B$45</f>
        <v>0.11568450000000001</v>
      </c>
      <c r="E46" s="400"/>
      <c r="F46" s="401">
        <f>F45/$B$45</f>
        <v>0.1021797</v>
      </c>
      <c r="H46" s="390"/>
    </row>
    <row r="47" spans="1:14" ht="27" customHeight="1" x14ac:dyDescent="0.4">
      <c r="A47" s="559"/>
      <c r="B47" s="560"/>
      <c r="C47" s="402" t="s">
        <v>131</v>
      </c>
      <c r="D47" s="403">
        <v>0.1</v>
      </c>
      <c r="E47" s="404"/>
      <c r="F47" s="400"/>
      <c r="H47" s="390"/>
    </row>
    <row r="48" spans="1:14" ht="18.75" x14ac:dyDescent="0.3">
      <c r="C48" s="405" t="s">
        <v>93</v>
      </c>
      <c r="D48" s="397">
        <f>D47*$B$45</f>
        <v>10</v>
      </c>
      <c r="F48" s="406"/>
      <c r="H48" s="390"/>
    </row>
    <row r="49" spans="1:12" ht="19.5" customHeight="1" x14ac:dyDescent="0.3">
      <c r="C49" s="407" t="s">
        <v>94</v>
      </c>
      <c r="D49" s="408">
        <f>D48/B34</f>
        <v>10</v>
      </c>
      <c r="F49" s="406"/>
      <c r="H49" s="390"/>
    </row>
    <row r="50" spans="1:12" ht="18.75" x14ac:dyDescent="0.3">
      <c r="C50" s="362" t="s">
        <v>95</v>
      </c>
      <c r="D50" s="409">
        <f>AVERAGE(E38:E41,G38:G41)</f>
        <v>9768633.7712334897</v>
      </c>
      <c r="F50" s="410"/>
      <c r="H50" s="390"/>
    </row>
    <row r="51" spans="1:12" ht="18.75" x14ac:dyDescent="0.3">
      <c r="C51" s="364" t="s">
        <v>60</v>
      </c>
      <c r="D51" s="411">
        <f>STDEV(E38:E41,G38:G41)/D50</f>
        <v>2.5253566754366271E-3</v>
      </c>
      <c r="F51" s="410"/>
      <c r="H51" s="390"/>
    </row>
    <row r="52" spans="1:12" ht="19.5" customHeight="1" x14ac:dyDescent="0.3">
      <c r="C52" s="412" t="s">
        <v>20</v>
      </c>
      <c r="D52" s="413">
        <f>COUNT(E38:E41,G38:G41)</f>
        <v>6</v>
      </c>
      <c r="F52" s="410"/>
    </row>
    <row r="54" spans="1:12" ht="18.75" x14ac:dyDescent="0.3">
      <c r="A54" s="414" t="s">
        <v>1</v>
      </c>
      <c r="B54" s="415" t="s">
        <v>96</v>
      </c>
    </row>
    <row r="55" spans="1:12" ht="18.75" x14ac:dyDescent="0.3">
      <c r="A55" s="339" t="s">
        <v>49</v>
      </c>
      <c r="B55" s="416" t="str">
        <f>B21</f>
        <v>Each Caplet contains Paracetemol B.P 500mg &amp;Caffeine 65mg</v>
      </c>
    </row>
    <row r="56" spans="1:12" ht="26.25" customHeight="1" x14ac:dyDescent="0.4">
      <c r="A56" s="417" t="s">
        <v>97</v>
      </c>
      <c r="B56" s="418">
        <v>500</v>
      </c>
      <c r="C56" s="339" t="str">
        <f>B20</f>
        <v>Paracetamol 500mg and caffeine 65 mg.</v>
      </c>
      <c r="H56" s="419"/>
    </row>
    <row r="57" spans="1:12" ht="18.75" x14ac:dyDescent="0.3">
      <c r="A57" s="416" t="s">
        <v>132</v>
      </c>
      <c r="B57" s="487">
        <f>Uniformity!C46</f>
        <v>689.404</v>
      </c>
      <c r="H57" s="419"/>
    </row>
    <row r="58" spans="1:12" ht="19.5" customHeight="1" x14ac:dyDescent="0.3">
      <c r="H58" s="419"/>
    </row>
    <row r="59" spans="1:12" s="14" customFormat="1" ht="27" customHeight="1" x14ac:dyDescent="0.4">
      <c r="A59" s="362" t="s">
        <v>133</v>
      </c>
      <c r="B59" s="363">
        <v>200</v>
      </c>
      <c r="C59" s="339"/>
      <c r="D59" s="420" t="s">
        <v>134</v>
      </c>
      <c r="E59" s="421" t="s">
        <v>75</v>
      </c>
      <c r="F59" s="421" t="s">
        <v>76</v>
      </c>
      <c r="G59" s="421" t="s">
        <v>135</v>
      </c>
      <c r="H59" s="366" t="s">
        <v>136</v>
      </c>
      <c r="L59" s="352"/>
    </row>
    <row r="60" spans="1:12" s="14" customFormat="1" ht="26.25" customHeight="1" x14ac:dyDescent="0.4">
      <c r="A60" s="364" t="s">
        <v>137</v>
      </c>
      <c r="B60" s="365">
        <v>2</v>
      </c>
      <c r="C60" s="578" t="s">
        <v>138</v>
      </c>
      <c r="D60" s="581">
        <v>694.06</v>
      </c>
      <c r="E60" s="422">
        <v>1</v>
      </c>
      <c r="F60" s="423">
        <v>9367917</v>
      </c>
      <c r="G60" s="488">
        <f>IF(ISBLANK(F60),"-",(F60/$D$50*$D$47*$B$68)*($B$57/$D$60))</f>
        <v>476.27303453196623</v>
      </c>
      <c r="H60" s="506">
        <f t="shared" ref="H60:H71" si="0">IF(ISBLANK(F60),"-",(G60/$B$56)*100)</f>
        <v>95.254606906393249</v>
      </c>
      <c r="L60" s="352"/>
    </row>
    <row r="61" spans="1:12" s="14" customFormat="1" ht="26.25" customHeight="1" x14ac:dyDescent="0.4">
      <c r="A61" s="364" t="s">
        <v>117</v>
      </c>
      <c r="B61" s="365">
        <v>50</v>
      </c>
      <c r="C61" s="579"/>
      <c r="D61" s="582"/>
      <c r="E61" s="424">
        <v>2</v>
      </c>
      <c r="F61" s="377">
        <v>9441906</v>
      </c>
      <c r="G61" s="489">
        <f>IF(ISBLANK(F61),"-",(F61/$D$50*$D$47*$B$68)*($B$57/$D$60))</f>
        <v>480.03469953732298</v>
      </c>
      <c r="H61" s="507">
        <f t="shared" si="0"/>
        <v>96.006939907464599</v>
      </c>
      <c r="L61" s="352"/>
    </row>
    <row r="62" spans="1:12" s="14" customFormat="1" ht="26.25" customHeight="1" x14ac:dyDescent="0.4">
      <c r="A62" s="364" t="s">
        <v>118</v>
      </c>
      <c r="B62" s="365">
        <v>1</v>
      </c>
      <c r="C62" s="579"/>
      <c r="D62" s="582"/>
      <c r="E62" s="424">
        <v>3</v>
      </c>
      <c r="F62" s="425">
        <v>9363793</v>
      </c>
      <c r="G62" s="489">
        <f>IF(ISBLANK(F62),"-",(F62/$D$50*$D$47*$B$68)*($B$57/$D$60))</f>
        <v>476.0633667910576</v>
      </c>
      <c r="H62" s="507">
        <f t="shared" si="0"/>
        <v>95.212673358211518</v>
      </c>
      <c r="L62" s="352"/>
    </row>
    <row r="63" spans="1:12" ht="27" customHeight="1" x14ac:dyDescent="0.4">
      <c r="A63" s="364" t="s">
        <v>119</v>
      </c>
      <c r="B63" s="365">
        <v>1</v>
      </c>
      <c r="C63" s="580"/>
      <c r="D63" s="583"/>
      <c r="E63" s="426">
        <v>4</v>
      </c>
      <c r="F63" s="427"/>
      <c r="G63" s="489" t="str">
        <f>IF(ISBLANK(F63),"-",(F63/$D$50*$D$47*$B$68)*($B$57/$D$60))</f>
        <v>-</v>
      </c>
      <c r="H63" s="507" t="str">
        <f t="shared" si="0"/>
        <v>-</v>
      </c>
    </row>
    <row r="64" spans="1:12" ht="26.25" customHeight="1" x14ac:dyDescent="0.4">
      <c r="A64" s="364" t="s">
        <v>120</v>
      </c>
      <c r="B64" s="365">
        <v>1</v>
      </c>
      <c r="C64" s="578" t="s">
        <v>139</v>
      </c>
      <c r="D64" s="581">
        <v>687.27</v>
      </c>
      <c r="E64" s="422">
        <v>1</v>
      </c>
      <c r="F64" s="423">
        <v>9279975</v>
      </c>
      <c r="G64" s="488">
        <f>IF(ISBLANK(F64),"-",(F64/$D$50*$D$47*$B$68)*($B$57/$D$64))</f>
        <v>476.46323427710695</v>
      </c>
      <c r="H64" s="506">
        <f t="shared" si="0"/>
        <v>95.292646855421395</v>
      </c>
    </row>
    <row r="65" spans="1:8" ht="26.25" customHeight="1" x14ac:dyDescent="0.4">
      <c r="A65" s="364" t="s">
        <v>121</v>
      </c>
      <c r="B65" s="365">
        <v>1</v>
      </c>
      <c r="C65" s="579"/>
      <c r="D65" s="582"/>
      <c r="E65" s="424">
        <v>2</v>
      </c>
      <c r="F65" s="377">
        <v>9735620</v>
      </c>
      <c r="G65" s="489">
        <f>IF(ISBLANK(F65),"-",(F65/$D$50*$D$47*$B$68)*($B$57/$D$64))</f>
        <v>499.85748807436312</v>
      </c>
      <c r="H65" s="507">
        <f t="shared" si="0"/>
        <v>99.971497614872632</v>
      </c>
    </row>
    <row r="66" spans="1:8" ht="26.25" customHeight="1" x14ac:dyDescent="0.4">
      <c r="A66" s="364" t="s">
        <v>122</v>
      </c>
      <c r="B66" s="365">
        <v>1</v>
      </c>
      <c r="C66" s="579"/>
      <c r="D66" s="582"/>
      <c r="E66" s="424">
        <v>3</v>
      </c>
      <c r="F66" s="377">
        <v>9418518</v>
      </c>
      <c r="G66" s="489">
        <f>IF(ISBLANK(F66),"-",(F66/$D$50*$D$47*$B$68)*($B$57/$D$64))</f>
        <v>483.57646958931991</v>
      </c>
      <c r="H66" s="507">
        <f t="shared" si="0"/>
        <v>96.715293917863988</v>
      </c>
    </row>
    <row r="67" spans="1:8" ht="27" customHeight="1" x14ac:dyDescent="0.4">
      <c r="A67" s="364" t="s">
        <v>123</v>
      </c>
      <c r="B67" s="365">
        <v>1</v>
      </c>
      <c r="C67" s="580"/>
      <c r="D67" s="583"/>
      <c r="E67" s="426">
        <v>4</v>
      </c>
      <c r="F67" s="427"/>
      <c r="G67" s="505" t="str">
        <f>IF(ISBLANK(F67),"-",(F67/$D$50*$D$47*$B$68)*($B$57/$D$64))</f>
        <v>-</v>
      </c>
      <c r="H67" s="508" t="str">
        <f t="shared" si="0"/>
        <v>-</v>
      </c>
    </row>
    <row r="68" spans="1:8" ht="26.25" customHeight="1" x14ac:dyDescent="0.4">
      <c r="A68" s="364" t="s">
        <v>124</v>
      </c>
      <c r="B68" s="428">
        <f>(B67/B66)*(B65/B64)*(B63/B62)*(B61/B60)*B59</f>
        <v>5000</v>
      </c>
      <c r="C68" s="578" t="s">
        <v>140</v>
      </c>
      <c r="D68" s="581">
        <v>687.2</v>
      </c>
      <c r="E68" s="422">
        <v>1</v>
      </c>
      <c r="F68" s="423">
        <v>9417531</v>
      </c>
      <c r="G68" s="488">
        <f>IF(ISBLANK(F68),"-",(F68/$D$50*$D$47*$B$68)*($B$57/$D$68))</f>
        <v>483.57504710064421</v>
      </c>
      <c r="H68" s="507">
        <f t="shared" si="0"/>
        <v>96.715009420128837</v>
      </c>
    </row>
    <row r="69" spans="1:8" ht="27" customHeight="1" x14ac:dyDescent="0.4">
      <c r="A69" s="412" t="s">
        <v>141</v>
      </c>
      <c r="B69" s="429">
        <f>(D47*B68)/B56*B57</f>
        <v>689.404</v>
      </c>
      <c r="C69" s="579"/>
      <c r="D69" s="582"/>
      <c r="E69" s="424">
        <v>2</v>
      </c>
      <c r="F69" s="377">
        <v>9519277</v>
      </c>
      <c r="G69" s="489">
        <f>IF(ISBLANK(F69),"-",(F69/$D$50*$D$47*$B$68)*($B$57/$D$68))</f>
        <v>488.79954030829089</v>
      </c>
      <c r="H69" s="507">
        <f t="shared" si="0"/>
        <v>97.75990806165818</v>
      </c>
    </row>
    <row r="70" spans="1:8" ht="26.25" customHeight="1" x14ac:dyDescent="0.4">
      <c r="A70" s="585" t="s">
        <v>90</v>
      </c>
      <c r="B70" s="586"/>
      <c r="C70" s="579"/>
      <c r="D70" s="582"/>
      <c r="E70" s="424">
        <v>3</v>
      </c>
      <c r="F70" s="377">
        <v>9639867</v>
      </c>
      <c r="G70" s="489">
        <f>IF(ISBLANK(F70),"-",(F70/$D$50*$D$47*$B$68)*($B$57/$D$68))</f>
        <v>494.99164256204159</v>
      </c>
      <c r="H70" s="507">
        <f t="shared" si="0"/>
        <v>98.998328512408321</v>
      </c>
    </row>
    <row r="71" spans="1:8" ht="27" customHeight="1" x14ac:dyDescent="0.4">
      <c r="A71" s="587"/>
      <c r="B71" s="588"/>
      <c r="C71" s="584"/>
      <c r="D71" s="583"/>
      <c r="E71" s="426">
        <v>4</v>
      </c>
      <c r="F71" s="427"/>
      <c r="G71" s="505" t="str">
        <f>IF(ISBLANK(F71),"-",(F71/$D$50*$D$47*$B$68)*($B$57/$D$68))</f>
        <v>-</v>
      </c>
      <c r="H71" s="508" t="str">
        <f t="shared" si="0"/>
        <v>-</v>
      </c>
    </row>
    <row r="72" spans="1:8" ht="26.25" customHeight="1" x14ac:dyDescent="0.4">
      <c r="A72" s="430"/>
      <c r="B72" s="430"/>
      <c r="C72" s="430"/>
      <c r="D72" s="430"/>
      <c r="E72" s="430"/>
      <c r="F72" s="432" t="s">
        <v>83</v>
      </c>
      <c r="G72" s="494">
        <f>AVERAGE(G60:G71)</f>
        <v>484.40383586356813</v>
      </c>
      <c r="H72" s="509">
        <f>AVERAGE(H60:H71)</f>
        <v>96.880767172713632</v>
      </c>
    </row>
    <row r="73" spans="1:8" ht="26.25" customHeight="1" x14ac:dyDescent="0.4">
      <c r="C73" s="430"/>
      <c r="D73" s="430"/>
      <c r="E73" s="430"/>
      <c r="F73" s="433" t="s">
        <v>60</v>
      </c>
      <c r="G73" s="493">
        <f>STDEV(G60:G71)/G72</f>
        <v>1.7719940913829321E-2</v>
      </c>
      <c r="H73" s="493">
        <f>STDEV(H60:H71)/H72</f>
        <v>1.7719940913829339E-2</v>
      </c>
    </row>
    <row r="74" spans="1:8" ht="27" customHeight="1" x14ac:dyDescent="0.4">
      <c r="A74" s="430"/>
      <c r="B74" s="430"/>
      <c r="C74" s="431"/>
      <c r="D74" s="431"/>
      <c r="E74" s="434"/>
      <c r="F74" s="435" t="s">
        <v>20</v>
      </c>
      <c r="G74" s="436">
        <f>COUNT(G60:G71)</f>
        <v>9</v>
      </c>
      <c r="H74" s="436">
        <f>COUNT(H60:H71)</f>
        <v>9</v>
      </c>
    </row>
    <row r="76" spans="1:8" ht="26.25" customHeight="1" x14ac:dyDescent="0.4">
      <c r="A76" s="348" t="s">
        <v>142</v>
      </c>
      <c r="B76" s="437" t="s">
        <v>104</v>
      </c>
      <c r="C76" s="561" t="str">
        <f>B26</f>
        <v>Paracetamol</v>
      </c>
      <c r="D76" s="561"/>
      <c r="E76" s="438" t="s">
        <v>105</v>
      </c>
      <c r="F76" s="438"/>
      <c r="G76" s="439">
        <f>H72</f>
        <v>96.880767172713632</v>
      </c>
      <c r="H76" s="440"/>
    </row>
    <row r="77" spans="1:8" ht="18.75" x14ac:dyDescent="0.3">
      <c r="A77" s="347" t="s">
        <v>107</v>
      </c>
      <c r="B77" s="347" t="s">
        <v>108</v>
      </c>
    </row>
    <row r="78" spans="1:8" ht="18.75" x14ac:dyDescent="0.3">
      <c r="A78" s="347"/>
      <c r="B78" s="347"/>
    </row>
    <row r="79" spans="1:8" ht="26.25" customHeight="1" x14ac:dyDescent="0.4">
      <c r="A79" s="348" t="s">
        <v>4</v>
      </c>
      <c r="B79" s="551" t="str">
        <f>B26</f>
        <v>Paracetamol</v>
      </c>
      <c r="C79" s="551"/>
    </row>
    <row r="80" spans="1:8" ht="26.25" customHeight="1" x14ac:dyDescent="0.4">
      <c r="A80" s="349" t="s">
        <v>61</v>
      </c>
      <c r="B80" s="551" t="str">
        <f>B27</f>
        <v>p1-10</v>
      </c>
      <c r="C80" s="551"/>
    </row>
    <row r="81" spans="1:12" ht="27" customHeight="1" x14ac:dyDescent="0.4">
      <c r="A81" s="349" t="s">
        <v>6</v>
      </c>
      <c r="B81" s="441">
        <f>B28</f>
        <v>99.3</v>
      </c>
    </row>
    <row r="82" spans="1:12" s="14" customFormat="1" ht="27" customHeight="1" x14ac:dyDescent="0.4">
      <c r="A82" s="349" t="s">
        <v>62</v>
      </c>
      <c r="B82" s="351">
        <v>0</v>
      </c>
      <c r="C82" s="566" t="s">
        <v>109</v>
      </c>
      <c r="D82" s="567"/>
      <c r="E82" s="567"/>
      <c r="F82" s="567"/>
      <c r="G82" s="568"/>
      <c r="I82" s="352"/>
      <c r="J82" s="352"/>
      <c r="K82" s="352"/>
      <c r="L82" s="352"/>
    </row>
    <row r="83" spans="1:12" s="14" customFormat="1" ht="19.5" customHeight="1" x14ac:dyDescent="0.3">
      <c r="A83" s="349" t="s">
        <v>64</v>
      </c>
      <c r="B83" s="353">
        <f>B81-B82</f>
        <v>99.3</v>
      </c>
      <c r="C83" s="354"/>
      <c r="D83" s="354"/>
      <c r="E83" s="354"/>
      <c r="F83" s="354"/>
      <c r="G83" s="355"/>
      <c r="I83" s="352"/>
      <c r="J83" s="352"/>
      <c r="K83" s="352"/>
      <c r="L83" s="352"/>
    </row>
    <row r="84" spans="1:12" s="14" customFormat="1" ht="27" customHeight="1" x14ac:dyDescent="0.4">
      <c r="A84" s="349" t="s">
        <v>65</v>
      </c>
      <c r="B84" s="356">
        <v>1</v>
      </c>
      <c r="C84" s="555" t="s">
        <v>143</v>
      </c>
      <c r="D84" s="556"/>
      <c r="E84" s="556"/>
      <c r="F84" s="556"/>
      <c r="G84" s="556"/>
      <c r="H84" s="569"/>
      <c r="I84" s="352"/>
      <c r="J84" s="352"/>
      <c r="K84" s="352"/>
      <c r="L84" s="352"/>
    </row>
    <row r="85" spans="1:12" s="14" customFormat="1" ht="27" customHeight="1" x14ac:dyDescent="0.4">
      <c r="A85" s="349" t="s">
        <v>67</v>
      </c>
      <c r="B85" s="356">
        <v>1</v>
      </c>
      <c r="C85" s="555" t="s">
        <v>144</v>
      </c>
      <c r="D85" s="556"/>
      <c r="E85" s="556"/>
      <c r="F85" s="556"/>
      <c r="G85" s="556"/>
      <c r="H85" s="569"/>
      <c r="I85" s="352"/>
      <c r="J85" s="352"/>
      <c r="K85" s="352"/>
      <c r="L85" s="352"/>
    </row>
    <row r="86" spans="1:12" s="14" customFormat="1" ht="18.75" x14ac:dyDescent="0.3">
      <c r="A86" s="349"/>
      <c r="B86" s="359"/>
      <c r="C86" s="360"/>
      <c r="D86" s="360"/>
      <c r="E86" s="360"/>
      <c r="F86" s="360"/>
      <c r="G86" s="360"/>
      <c r="H86" s="360"/>
      <c r="I86" s="352"/>
      <c r="J86" s="352"/>
      <c r="K86" s="352"/>
      <c r="L86" s="352"/>
    </row>
    <row r="87" spans="1:12" s="14" customFormat="1" ht="18.75" x14ac:dyDescent="0.3">
      <c r="A87" s="349" t="s">
        <v>69</v>
      </c>
      <c r="B87" s="361">
        <f>B84/B85</f>
        <v>1</v>
      </c>
      <c r="C87" s="339" t="s">
        <v>70</v>
      </c>
      <c r="D87" s="339"/>
      <c r="E87" s="339"/>
      <c r="F87" s="339"/>
      <c r="G87" s="339"/>
      <c r="I87" s="352"/>
      <c r="J87" s="352"/>
      <c r="K87" s="352"/>
      <c r="L87" s="352"/>
    </row>
    <row r="88" spans="1:12" ht="19.5" customHeight="1" x14ac:dyDescent="0.3">
      <c r="A88" s="347"/>
      <c r="B88" s="347"/>
    </row>
    <row r="89" spans="1:12" ht="27" customHeight="1" x14ac:dyDescent="0.4">
      <c r="A89" s="362" t="s">
        <v>127</v>
      </c>
      <c r="B89" s="363">
        <v>100</v>
      </c>
      <c r="D89" s="442" t="s">
        <v>72</v>
      </c>
      <c r="E89" s="443"/>
      <c r="F89" s="547" t="s">
        <v>73</v>
      </c>
      <c r="G89" s="548"/>
    </row>
    <row r="90" spans="1:12" ht="27" customHeight="1" x14ac:dyDescent="0.4">
      <c r="A90" s="364" t="s">
        <v>74</v>
      </c>
      <c r="B90" s="365">
        <v>1</v>
      </c>
      <c r="C90" s="444" t="s">
        <v>75</v>
      </c>
      <c r="D90" s="367" t="s">
        <v>76</v>
      </c>
      <c r="E90" s="368" t="s">
        <v>77</v>
      </c>
      <c r="F90" s="367" t="s">
        <v>76</v>
      </c>
      <c r="G90" s="445" t="s">
        <v>77</v>
      </c>
      <c r="I90" s="370" t="s">
        <v>128</v>
      </c>
    </row>
    <row r="91" spans="1:12" ht="26.25" customHeight="1" x14ac:dyDescent="0.4">
      <c r="A91" s="364" t="s">
        <v>78</v>
      </c>
      <c r="B91" s="365">
        <v>1</v>
      </c>
      <c r="C91" s="446">
        <v>1</v>
      </c>
      <c r="D91" s="372">
        <v>11350530</v>
      </c>
      <c r="E91" s="373">
        <f>IF(ISBLANK(D91),"-",$D$101/$D$98*D91)</f>
        <v>10901806.205671459</v>
      </c>
      <c r="F91" s="372">
        <v>9974713</v>
      </c>
      <c r="G91" s="374">
        <f>IF(ISBLANK(F91),"-",$D$101/$F$98*F91)</f>
        <v>10846591.294008931</v>
      </c>
      <c r="I91" s="375"/>
    </row>
    <row r="92" spans="1:12" ht="26.25" customHeight="1" x14ac:dyDescent="0.4">
      <c r="A92" s="364" t="s">
        <v>79</v>
      </c>
      <c r="B92" s="365">
        <v>1</v>
      </c>
      <c r="C92" s="431">
        <v>2</v>
      </c>
      <c r="D92" s="377">
        <v>11269744</v>
      </c>
      <c r="E92" s="378">
        <f>IF(ISBLANK(D92),"-",$D$101/$D$98*D92)</f>
        <v>10824213.942038715</v>
      </c>
      <c r="F92" s="377">
        <v>9990382</v>
      </c>
      <c r="G92" s="379">
        <f>IF(ISBLANK(F92),"-",$D$101/$F$98*F92)</f>
        <v>10863629.903439181</v>
      </c>
      <c r="I92" s="577">
        <f>ABS((F96/D96*D95)-F95)/D95</f>
        <v>1.0173388845043038E-3</v>
      </c>
    </row>
    <row r="93" spans="1:12" ht="26.25" customHeight="1" x14ac:dyDescent="0.4">
      <c r="A93" s="364" t="s">
        <v>80</v>
      </c>
      <c r="B93" s="365">
        <v>1</v>
      </c>
      <c r="C93" s="431">
        <v>3</v>
      </c>
      <c r="D93" s="377">
        <v>11301647</v>
      </c>
      <c r="E93" s="378">
        <f>IF(ISBLANK(D93),"-",$D$101/$D$98*D93)</f>
        <v>10854855.711487325</v>
      </c>
      <c r="F93" s="377">
        <v>9962332</v>
      </c>
      <c r="G93" s="379">
        <f>IF(ISBLANK(F93),"-",$D$101/$F$98*F93)</f>
        <v>10833128.084910974</v>
      </c>
      <c r="I93" s="577"/>
    </row>
    <row r="94" spans="1:12" ht="27" customHeight="1" x14ac:dyDescent="0.4">
      <c r="A94" s="364" t="s">
        <v>81</v>
      </c>
      <c r="B94" s="365">
        <v>1</v>
      </c>
      <c r="C94" s="447">
        <v>4</v>
      </c>
      <c r="D94" s="382"/>
      <c r="E94" s="383" t="str">
        <f>IF(ISBLANK(D94),"-",$D$101/$D$98*D94)</f>
        <v>-</v>
      </c>
      <c r="F94" s="448"/>
      <c r="G94" s="384" t="str">
        <f>IF(ISBLANK(F94),"-",$D$101/$F$98*F94)</f>
        <v>-</v>
      </c>
      <c r="I94" s="385"/>
    </row>
    <row r="95" spans="1:12" ht="27" customHeight="1" x14ac:dyDescent="0.4">
      <c r="A95" s="364" t="s">
        <v>82</v>
      </c>
      <c r="B95" s="365">
        <v>1</v>
      </c>
      <c r="C95" s="449" t="s">
        <v>83</v>
      </c>
      <c r="D95" s="450">
        <f>AVERAGE(D91:D94)</f>
        <v>11307307</v>
      </c>
      <c r="E95" s="388">
        <f>AVERAGE(E91:E94)</f>
        <v>10860291.953065833</v>
      </c>
      <c r="F95" s="451">
        <f>AVERAGE(F91:F94)</f>
        <v>9975809</v>
      </c>
      <c r="G95" s="452">
        <f>AVERAGE(G91:G94)</f>
        <v>10847783.094119696</v>
      </c>
    </row>
    <row r="96" spans="1:12" ht="26.25" customHeight="1" x14ac:dyDescent="0.4">
      <c r="A96" s="364" t="s">
        <v>84</v>
      </c>
      <c r="B96" s="350">
        <v>1</v>
      </c>
      <c r="C96" s="453" t="s">
        <v>85</v>
      </c>
      <c r="D96" s="454">
        <v>11.65</v>
      </c>
      <c r="E96" s="380"/>
      <c r="F96" s="392">
        <v>10.29</v>
      </c>
    </row>
    <row r="97" spans="1:10" ht="26.25" customHeight="1" x14ac:dyDescent="0.4">
      <c r="A97" s="364" t="s">
        <v>86</v>
      </c>
      <c r="B97" s="350">
        <v>1</v>
      </c>
      <c r="C97" s="455" t="s">
        <v>87</v>
      </c>
      <c r="D97" s="456">
        <f>D96*$B$87</f>
        <v>11.65</v>
      </c>
      <c r="E97" s="395"/>
      <c r="F97" s="394">
        <f>F96*$B$87</f>
        <v>10.29</v>
      </c>
    </row>
    <row r="98" spans="1:10" ht="19.5" customHeight="1" x14ac:dyDescent="0.3">
      <c r="A98" s="364" t="s">
        <v>88</v>
      </c>
      <c r="B98" s="457">
        <f>(B97/B96)*(B95/B94)*(B93/B92)*(B91/B90)*B89</f>
        <v>100</v>
      </c>
      <c r="C98" s="455" t="s">
        <v>145</v>
      </c>
      <c r="D98" s="458">
        <f>D97*$B$83/100</f>
        <v>11.56845</v>
      </c>
      <c r="E98" s="398"/>
      <c r="F98" s="397">
        <f>F97*$B$83/100</f>
        <v>10.217969999999999</v>
      </c>
    </row>
    <row r="99" spans="1:10" ht="19.5" customHeight="1" x14ac:dyDescent="0.3">
      <c r="A99" s="557" t="s">
        <v>90</v>
      </c>
      <c r="B99" s="562"/>
      <c r="C99" s="455" t="s">
        <v>146</v>
      </c>
      <c r="D99" s="459">
        <f>D98/$B$98</f>
        <v>0.11568450000000001</v>
      </c>
      <c r="E99" s="398"/>
      <c r="F99" s="401">
        <f>F98/$B$98</f>
        <v>0.1021797</v>
      </c>
      <c r="G99" s="460"/>
      <c r="H99" s="390"/>
    </row>
    <row r="100" spans="1:10" ht="19.5" customHeight="1" x14ac:dyDescent="0.3">
      <c r="A100" s="559"/>
      <c r="B100" s="563"/>
      <c r="C100" s="455" t="s">
        <v>131</v>
      </c>
      <c r="D100" s="461">
        <f>$B$56/$B$116</f>
        <v>0.1111111111111111</v>
      </c>
      <c r="F100" s="406"/>
      <c r="G100" s="462"/>
      <c r="H100" s="390"/>
    </row>
    <row r="101" spans="1:10" ht="18.75" x14ac:dyDescent="0.3">
      <c r="C101" s="455" t="s">
        <v>93</v>
      </c>
      <c r="D101" s="456">
        <f>D100*$B$98</f>
        <v>11.111111111111111</v>
      </c>
      <c r="F101" s="406"/>
      <c r="G101" s="460"/>
      <c r="H101" s="390"/>
    </row>
    <row r="102" spans="1:10" ht="19.5" customHeight="1" x14ac:dyDescent="0.3">
      <c r="C102" s="463" t="s">
        <v>94</v>
      </c>
      <c r="D102" s="464">
        <f>D101/B34</f>
        <v>11.111111111111111</v>
      </c>
      <c r="F102" s="410"/>
      <c r="G102" s="460"/>
      <c r="H102" s="390"/>
      <c r="J102" s="465"/>
    </row>
    <row r="103" spans="1:10" ht="18.75" x14ac:dyDescent="0.3">
      <c r="C103" s="466" t="s">
        <v>147</v>
      </c>
      <c r="D103" s="467">
        <f>AVERAGE(E91:E94,G91:G94)</f>
        <v>10854037.523592765</v>
      </c>
      <c r="F103" s="410"/>
      <c r="G103" s="468"/>
      <c r="H103" s="390"/>
      <c r="J103" s="469"/>
    </row>
    <row r="104" spans="1:10" ht="18.75" x14ac:dyDescent="0.3">
      <c r="C104" s="433" t="s">
        <v>60</v>
      </c>
      <c r="D104" s="470">
        <f>STDEV(E91:E94,G91:G94)/D103</f>
        <v>2.5253566754366605E-3</v>
      </c>
      <c r="F104" s="410"/>
      <c r="G104" s="460"/>
      <c r="H104" s="390"/>
      <c r="J104" s="469"/>
    </row>
    <row r="105" spans="1:10" ht="19.5" customHeight="1" x14ac:dyDescent="0.3">
      <c r="C105" s="435" t="s">
        <v>20</v>
      </c>
      <c r="D105" s="471">
        <f>COUNT(E91:E94,G91:G94)</f>
        <v>6</v>
      </c>
      <c r="F105" s="410"/>
      <c r="G105" s="460"/>
      <c r="H105" s="390"/>
      <c r="J105" s="469"/>
    </row>
    <row r="106" spans="1:10" ht="19.5" customHeight="1" x14ac:dyDescent="0.3">
      <c r="A106" s="414"/>
      <c r="B106" s="414"/>
      <c r="C106" s="414"/>
      <c r="D106" s="414"/>
      <c r="E106" s="414"/>
    </row>
    <row r="107" spans="1:10" ht="27" customHeight="1" x14ac:dyDescent="0.4">
      <c r="A107" s="362" t="s">
        <v>112</v>
      </c>
      <c r="B107" s="363">
        <v>900</v>
      </c>
      <c r="C107" s="510" t="s">
        <v>148</v>
      </c>
      <c r="D107" s="510" t="s">
        <v>76</v>
      </c>
      <c r="E107" s="510" t="s">
        <v>114</v>
      </c>
      <c r="F107" s="472" t="s">
        <v>115</v>
      </c>
    </row>
    <row r="108" spans="1:10" ht="26.25" customHeight="1" x14ac:dyDescent="0.4">
      <c r="A108" s="364" t="s">
        <v>116</v>
      </c>
      <c r="B108" s="365">
        <v>2</v>
      </c>
      <c r="C108" s="515">
        <v>1</v>
      </c>
      <c r="D108" s="516">
        <v>9590673</v>
      </c>
      <c r="E108" s="490">
        <f t="shared" ref="E108:E113" si="1">IF(ISBLANK(D108),"-",D108/$D$103*$D$100*$B$116)</f>
        <v>441.80209342161078</v>
      </c>
      <c r="F108" s="517">
        <f t="shared" ref="F108:F113" si="2">IF(ISBLANK(D108), "-", (E108/$B$56)*100)</f>
        <v>88.360418684322156</v>
      </c>
    </row>
    <row r="109" spans="1:10" ht="26.25" customHeight="1" x14ac:dyDescent="0.4">
      <c r="A109" s="364" t="s">
        <v>117</v>
      </c>
      <c r="B109" s="365">
        <v>10</v>
      </c>
      <c r="C109" s="511">
        <v>2</v>
      </c>
      <c r="D109" s="513">
        <v>9631269</v>
      </c>
      <c r="E109" s="491">
        <f t="shared" si="1"/>
        <v>443.67218093106334</v>
      </c>
      <c r="F109" s="518">
        <f t="shared" si="2"/>
        <v>88.734436186212676</v>
      </c>
    </row>
    <row r="110" spans="1:10" ht="26.25" customHeight="1" x14ac:dyDescent="0.4">
      <c r="A110" s="364" t="s">
        <v>118</v>
      </c>
      <c r="B110" s="365">
        <v>1</v>
      </c>
      <c r="C110" s="511">
        <v>3</v>
      </c>
      <c r="D110" s="513">
        <v>9460471</v>
      </c>
      <c r="E110" s="491">
        <f t="shared" si="1"/>
        <v>435.80423319139749</v>
      </c>
      <c r="F110" s="518">
        <f t="shared" si="2"/>
        <v>87.160846638279494</v>
      </c>
    </row>
    <row r="111" spans="1:10" ht="26.25" customHeight="1" x14ac:dyDescent="0.4">
      <c r="A111" s="364" t="s">
        <v>119</v>
      </c>
      <c r="B111" s="365">
        <v>1</v>
      </c>
      <c r="C111" s="511">
        <v>4</v>
      </c>
      <c r="D111" s="513">
        <v>9474134</v>
      </c>
      <c r="E111" s="491">
        <f t="shared" si="1"/>
        <v>436.43363031529276</v>
      </c>
      <c r="F111" s="518">
        <f t="shared" si="2"/>
        <v>87.286726063058552</v>
      </c>
    </row>
    <row r="112" spans="1:10" ht="26.25" customHeight="1" x14ac:dyDescent="0.4">
      <c r="A112" s="364" t="s">
        <v>120</v>
      </c>
      <c r="B112" s="365">
        <v>1</v>
      </c>
      <c r="C112" s="511">
        <v>5</v>
      </c>
      <c r="D112" s="513">
        <v>9540104</v>
      </c>
      <c r="E112" s="491">
        <f t="shared" si="1"/>
        <v>439.47259161686389</v>
      </c>
      <c r="F112" s="518">
        <f t="shared" si="2"/>
        <v>87.894518323372779</v>
      </c>
    </row>
    <row r="113" spans="1:10" ht="27" customHeight="1" x14ac:dyDescent="0.4">
      <c r="A113" s="364" t="s">
        <v>121</v>
      </c>
      <c r="B113" s="365">
        <v>1</v>
      </c>
      <c r="C113" s="512">
        <v>6</v>
      </c>
      <c r="D113" s="514">
        <v>9604340</v>
      </c>
      <c r="E113" s="492">
        <f t="shared" si="1"/>
        <v>442.43167480873484</v>
      </c>
      <c r="F113" s="519">
        <f t="shared" si="2"/>
        <v>88.486334961746977</v>
      </c>
    </row>
    <row r="114" spans="1:10" ht="27" customHeight="1" x14ac:dyDescent="0.4">
      <c r="A114" s="364" t="s">
        <v>122</v>
      </c>
      <c r="B114" s="365">
        <v>1</v>
      </c>
      <c r="C114" s="473"/>
      <c r="D114" s="431"/>
      <c r="E114" s="338"/>
      <c r="F114" s="520"/>
    </row>
    <row r="115" spans="1:10" ht="26.25" customHeight="1" x14ac:dyDescent="0.4">
      <c r="A115" s="364" t="s">
        <v>123</v>
      </c>
      <c r="B115" s="365">
        <v>1</v>
      </c>
      <c r="C115" s="473"/>
      <c r="D115" s="497" t="s">
        <v>83</v>
      </c>
      <c r="E115" s="499">
        <f>AVERAGE(E108:E113)</f>
        <v>439.93606738082718</v>
      </c>
      <c r="F115" s="527">
        <f>AVERAGE(F108:F113)</f>
        <v>87.987213476165437</v>
      </c>
    </row>
    <row r="116" spans="1:10" ht="27" customHeight="1" x14ac:dyDescent="0.4">
      <c r="A116" s="364" t="s">
        <v>124</v>
      </c>
      <c r="B116" s="396">
        <f>(B115/B114)*(B113/B112)*(B111/B110)*(B109/B108)*B107</f>
        <v>4500</v>
      </c>
      <c r="C116" s="474"/>
      <c r="D116" s="498" t="s">
        <v>60</v>
      </c>
      <c r="E116" s="496">
        <f>STDEV(E108:E113)/E115</f>
        <v>7.416062882127596E-3</v>
      </c>
      <c r="F116" s="475">
        <f>STDEV(F108:F113)/F115</f>
        <v>7.4160628821276411E-3</v>
      </c>
      <c r="I116" s="338"/>
    </row>
    <row r="117" spans="1:10" ht="27" customHeight="1" x14ac:dyDescent="0.4">
      <c r="A117" s="557" t="s">
        <v>90</v>
      </c>
      <c r="B117" s="558"/>
      <c r="C117" s="476"/>
      <c r="D117" s="435" t="s">
        <v>20</v>
      </c>
      <c r="E117" s="501">
        <f>COUNT(E108:E113)</f>
        <v>6</v>
      </c>
      <c r="F117" s="502">
        <f>COUNT(F108:F113)</f>
        <v>6</v>
      </c>
      <c r="I117" s="338"/>
      <c r="J117" s="469"/>
    </row>
    <row r="118" spans="1:10" ht="26.25" customHeight="1" x14ac:dyDescent="0.3">
      <c r="A118" s="559"/>
      <c r="B118" s="560"/>
      <c r="C118" s="338"/>
      <c r="D118" s="500"/>
      <c r="E118" s="571" t="s">
        <v>149</v>
      </c>
      <c r="F118" s="572"/>
      <c r="G118" s="338"/>
      <c r="H118" s="338"/>
      <c r="I118" s="338"/>
    </row>
    <row r="119" spans="1:10" ht="25.5" customHeight="1" x14ac:dyDescent="0.4">
      <c r="A119" s="485"/>
      <c r="B119" s="360"/>
      <c r="C119" s="338"/>
      <c r="D119" s="498" t="s">
        <v>150</v>
      </c>
      <c r="E119" s="503">
        <f>MIN(E108:E113)</f>
        <v>435.80423319139749</v>
      </c>
      <c r="F119" s="528">
        <f>MIN(F108:F113)</f>
        <v>87.160846638279494</v>
      </c>
      <c r="G119" s="338"/>
      <c r="H119" s="338"/>
      <c r="I119" s="338"/>
    </row>
    <row r="120" spans="1:10" ht="24" customHeight="1" x14ac:dyDescent="0.4">
      <c r="A120" s="485"/>
      <c r="B120" s="360"/>
      <c r="C120" s="338"/>
      <c r="D120" s="407" t="s">
        <v>151</v>
      </c>
      <c r="E120" s="504">
        <f>MAX(E108:E113)</f>
        <v>443.67218093106334</v>
      </c>
      <c r="F120" s="529">
        <f>MAX(F108:F113)</f>
        <v>88.734436186212676</v>
      </c>
      <c r="G120" s="338"/>
      <c r="H120" s="338"/>
      <c r="I120" s="338"/>
    </row>
    <row r="121" spans="1:10" ht="27" customHeight="1" x14ac:dyDescent="0.3">
      <c r="A121" s="485"/>
      <c r="B121" s="360"/>
      <c r="C121" s="338"/>
      <c r="D121" s="338"/>
      <c r="E121" s="338"/>
      <c r="F121" s="431"/>
      <c r="G121" s="338"/>
      <c r="H121" s="338"/>
      <c r="I121" s="338"/>
    </row>
    <row r="122" spans="1:10" ht="25.5" customHeight="1" x14ac:dyDescent="0.3">
      <c r="A122" s="485"/>
      <c r="B122" s="360"/>
      <c r="C122" s="338"/>
      <c r="D122" s="338"/>
      <c r="E122" s="338"/>
      <c r="F122" s="431"/>
      <c r="G122" s="338"/>
      <c r="H122" s="338"/>
      <c r="I122" s="338"/>
    </row>
    <row r="123" spans="1:10" ht="18.75" x14ac:dyDescent="0.3">
      <c r="A123" s="485"/>
      <c r="B123" s="360"/>
      <c r="C123" s="338"/>
      <c r="D123" s="338"/>
      <c r="E123" s="338"/>
      <c r="F123" s="431"/>
      <c r="G123" s="338"/>
      <c r="H123" s="338"/>
      <c r="I123" s="338"/>
    </row>
    <row r="124" spans="1:10" ht="45.75" customHeight="1" x14ac:dyDescent="0.65">
      <c r="A124" s="348" t="s">
        <v>142</v>
      </c>
      <c r="B124" s="437" t="s">
        <v>125</v>
      </c>
      <c r="C124" s="561" t="str">
        <f>B26</f>
        <v>Paracetamol</v>
      </c>
      <c r="D124" s="561"/>
      <c r="E124" s="438" t="s">
        <v>126</v>
      </c>
      <c r="F124" s="438"/>
      <c r="G124" s="530">
        <f>F115</f>
        <v>87.987213476165437</v>
      </c>
      <c r="H124" s="338"/>
      <c r="I124" s="338"/>
    </row>
    <row r="125" spans="1:10" ht="45.75" customHeight="1" x14ac:dyDescent="0.65">
      <c r="A125" s="348"/>
      <c r="B125" s="437" t="s">
        <v>152</v>
      </c>
      <c r="C125" s="349" t="s">
        <v>153</v>
      </c>
      <c r="D125" s="530">
        <f>MIN(F108:F113)</f>
        <v>87.160846638279494</v>
      </c>
      <c r="E125" s="449" t="s">
        <v>154</v>
      </c>
      <c r="F125" s="530">
        <f>MAX(F108:F113)</f>
        <v>88.734436186212676</v>
      </c>
      <c r="G125" s="439"/>
      <c r="H125" s="338"/>
      <c r="I125" s="338"/>
    </row>
    <row r="126" spans="1:10" ht="19.5" customHeight="1" x14ac:dyDescent="0.3">
      <c r="A126" s="477"/>
      <c r="B126" s="477"/>
      <c r="C126" s="478"/>
      <c r="D126" s="478"/>
      <c r="E126" s="478"/>
      <c r="F126" s="478"/>
      <c r="G126" s="478"/>
      <c r="H126" s="478"/>
    </row>
    <row r="127" spans="1:10" ht="18.75" x14ac:dyDescent="0.3">
      <c r="B127" s="546" t="s">
        <v>26</v>
      </c>
      <c r="C127" s="546"/>
      <c r="E127" s="444" t="s">
        <v>27</v>
      </c>
      <c r="F127" s="479"/>
      <c r="G127" s="546" t="s">
        <v>28</v>
      </c>
      <c r="H127" s="546"/>
    </row>
    <row r="128" spans="1:10" ht="69.95" customHeight="1" x14ac:dyDescent="0.3">
      <c r="A128" s="480" t="s">
        <v>29</v>
      </c>
      <c r="B128" s="481"/>
      <c r="C128" s="481"/>
      <c r="E128" s="481"/>
      <c r="F128" s="338"/>
      <c r="G128" s="482"/>
      <c r="H128" s="482"/>
    </row>
    <row r="129" spans="1:9" ht="69.95" customHeight="1" x14ac:dyDescent="0.3">
      <c r="A129" s="480" t="s">
        <v>30</v>
      </c>
      <c r="B129" s="483"/>
      <c r="C129" s="483"/>
      <c r="E129" s="483"/>
      <c r="F129" s="338"/>
      <c r="G129" s="484"/>
      <c r="H129" s="484"/>
    </row>
    <row r="130" spans="1:9" ht="18.75" x14ac:dyDescent="0.3">
      <c r="A130" s="430"/>
      <c r="B130" s="430"/>
      <c r="C130" s="431"/>
      <c r="D130" s="431"/>
      <c r="E130" s="431"/>
      <c r="F130" s="434"/>
      <c r="G130" s="431"/>
      <c r="H130" s="431"/>
      <c r="I130" s="338"/>
    </row>
    <row r="131" spans="1:9" ht="18.75" x14ac:dyDescent="0.3">
      <c r="A131" s="430"/>
      <c r="B131" s="430"/>
      <c r="C131" s="431"/>
      <c r="D131" s="431"/>
      <c r="E131" s="431"/>
      <c r="F131" s="434"/>
      <c r="G131" s="431"/>
      <c r="H131" s="431"/>
      <c r="I131" s="338"/>
    </row>
    <row r="132" spans="1:9" ht="18.75" x14ac:dyDescent="0.3">
      <c r="A132" s="430"/>
      <c r="B132" s="430"/>
      <c r="C132" s="431"/>
      <c r="D132" s="431"/>
      <c r="E132" s="431"/>
      <c r="F132" s="434"/>
      <c r="G132" s="431"/>
      <c r="H132" s="431"/>
      <c r="I132" s="338"/>
    </row>
    <row r="133" spans="1:9" ht="18.75" x14ac:dyDescent="0.3">
      <c r="A133" s="430"/>
      <c r="B133" s="430"/>
      <c r="C133" s="431"/>
      <c r="D133" s="431"/>
      <c r="E133" s="431"/>
      <c r="F133" s="434"/>
      <c r="G133" s="431"/>
      <c r="H133" s="431"/>
      <c r="I133" s="338"/>
    </row>
    <row r="134" spans="1:9" ht="18.75" x14ac:dyDescent="0.3">
      <c r="A134" s="430"/>
      <c r="B134" s="430"/>
      <c r="C134" s="431"/>
      <c r="D134" s="431"/>
      <c r="E134" s="431"/>
      <c r="F134" s="434"/>
      <c r="G134" s="431"/>
      <c r="H134" s="431"/>
      <c r="I134" s="338"/>
    </row>
    <row r="135" spans="1:9" ht="18.75" x14ac:dyDescent="0.3">
      <c r="A135" s="430"/>
      <c r="B135" s="430"/>
      <c r="C135" s="431"/>
      <c r="D135" s="431"/>
      <c r="E135" s="431"/>
      <c r="F135" s="434"/>
      <c r="G135" s="431"/>
      <c r="H135" s="431"/>
      <c r="I135" s="338"/>
    </row>
    <row r="136" spans="1:9" ht="18.75" x14ac:dyDescent="0.3">
      <c r="A136" s="430"/>
      <c r="B136" s="430"/>
      <c r="C136" s="431"/>
      <c r="D136" s="431"/>
      <c r="E136" s="431"/>
      <c r="F136" s="434"/>
      <c r="G136" s="431"/>
      <c r="H136" s="431"/>
      <c r="I136" s="338"/>
    </row>
    <row r="137" spans="1:9" ht="18.75" x14ac:dyDescent="0.3">
      <c r="A137" s="430"/>
      <c r="B137" s="430"/>
      <c r="C137" s="431"/>
      <c r="D137" s="431"/>
      <c r="E137" s="431"/>
      <c r="F137" s="434"/>
      <c r="G137" s="431"/>
      <c r="H137" s="431"/>
      <c r="I137" s="338"/>
    </row>
    <row r="138" spans="1:9" ht="18.75" x14ac:dyDescent="0.3">
      <c r="A138" s="430"/>
      <c r="B138" s="430"/>
      <c r="C138" s="431"/>
      <c r="D138" s="431"/>
      <c r="E138" s="431"/>
      <c r="F138" s="434"/>
      <c r="G138" s="431"/>
      <c r="H138" s="431"/>
      <c r="I138" s="3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62" zoomScale="46" zoomScaleNormal="40" zoomScalePageLayoutView="46" workbookViewId="0">
      <selection activeCell="E144" sqref="E144"/>
    </sheetView>
  </sheetViews>
  <sheetFormatPr defaultColWidth="9.140625" defaultRowHeight="13.5" x14ac:dyDescent="0.25"/>
  <cols>
    <col min="1" max="1" width="55.42578125" style="460" customWidth="1"/>
    <col min="2" max="2" width="33.7109375" style="460" customWidth="1"/>
    <col min="3" max="3" width="42.28515625" style="460" customWidth="1"/>
    <col min="4" max="4" width="30.5703125" style="460" customWidth="1"/>
    <col min="5" max="5" width="39.85546875" style="460" customWidth="1"/>
    <col min="6" max="6" width="30.7109375" style="460" customWidth="1"/>
    <col min="7" max="7" width="39.85546875" style="460" customWidth="1"/>
    <col min="8" max="8" width="30" style="460" customWidth="1"/>
    <col min="9" max="9" width="30.28515625" style="460" hidden="1" customWidth="1"/>
    <col min="10" max="10" width="30.42578125" style="460" customWidth="1"/>
    <col min="11" max="11" width="21.28515625" style="460" customWidth="1"/>
    <col min="12" max="12" width="9.140625" style="460"/>
    <col min="13" max="16384" width="9.140625" style="44"/>
  </cols>
  <sheetData>
    <row r="1" spans="1:9" ht="18.75" customHeight="1" x14ac:dyDescent="0.25">
      <c r="A1" s="544" t="s">
        <v>45</v>
      </c>
      <c r="B1" s="544"/>
      <c r="C1" s="544"/>
      <c r="D1" s="544"/>
      <c r="E1" s="544"/>
      <c r="F1" s="544"/>
      <c r="G1" s="544"/>
      <c r="H1" s="544"/>
      <c r="I1" s="544"/>
    </row>
    <row r="2" spans="1:9" ht="18.75" customHeight="1" x14ac:dyDescent="0.25">
      <c r="A2" s="544"/>
      <c r="B2" s="544"/>
      <c r="C2" s="544"/>
      <c r="D2" s="544"/>
      <c r="E2" s="544"/>
      <c r="F2" s="544"/>
      <c r="G2" s="544"/>
      <c r="H2" s="544"/>
      <c r="I2" s="544"/>
    </row>
    <row r="3" spans="1:9" ht="18.75" customHeight="1" x14ac:dyDescent="0.25">
      <c r="A3" s="544"/>
      <c r="B3" s="544"/>
      <c r="C3" s="544"/>
      <c r="D3" s="544"/>
      <c r="E3" s="544"/>
      <c r="F3" s="544"/>
      <c r="G3" s="544"/>
      <c r="H3" s="544"/>
      <c r="I3" s="544"/>
    </row>
    <row r="4" spans="1:9" ht="18.75" customHeight="1" x14ac:dyDescent="0.25">
      <c r="A4" s="544"/>
      <c r="B4" s="544"/>
      <c r="C4" s="544"/>
      <c r="D4" s="544"/>
      <c r="E4" s="544"/>
      <c r="F4" s="544"/>
      <c r="G4" s="544"/>
      <c r="H4" s="544"/>
      <c r="I4" s="544"/>
    </row>
    <row r="5" spans="1:9" ht="18.75" customHeight="1" x14ac:dyDescent="0.25">
      <c r="A5" s="544"/>
      <c r="B5" s="544"/>
      <c r="C5" s="544"/>
      <c r="D5" s="544"/>
      <c r="E5" s="544"/>
      <c r="F5" s="544"/>
      <c r="G5" s="544"/>
      <c r="H5" s="544"/>
      <c r="I5" s="544"/>
    </row>
    <row r="6" spans="1:9" ht="18.75" customHeight="1" x14ac:dyDescent="0.25">
      <c r="A6" s="544"/>
      <c r="B6" s="544"/>
      <c r="C6" s="544"/>
      <c r="D6" s="544"/>
      <c r="E6" s="544"/>
      <c r="F6" s="544"/>
      <c r="G6" s="544"/>
      <c r="H6" s="544"/>
      <c r="I6" s="544"/>
    </row>
    <row r="7" spans="1:9" ht="18.75" customHeight="1" x14ac:dyDescent="0.25">
      <c r="A7" s="544"/>
      <c r="B7" s="544"/>
      <c r="C7" s="544"/>
      <c r="D7" s="544"/>
      <c r="E7" s="544"/>
      <c r="F7" s="544"/>
      <c r="G7" s="544"/>
      <c r="H7" s="544"/>
      <c r="I7" s="544"/>
    </row>
    <row r="8" spans="1:9" x14ac:dyDescent="0.25">
      <c r="A8" s="545" t="s">
        <v>46</v>
      </c>
      <c r="B8" s="545"/>
      <c r="C8" s="545"/>
      <c r="D8" s="545"/>
      <c r="E8" s="545"/>
      <c r="F8" s="545"/>
      <c r="G8" s="545"/>
      <c r="H8" s="545"/>
      <c r="I8" s="545"/>
    </row>
    <row r="9" spans="1:9" x14ac:dyDescent="0.25">
      <c r="A9" s="545"/>
      <c r="B9" s="545"/>
      <c r="C9" s="545"/>
      <c r="D9" s="545"/>
      <c r="E9" s="545"/>
      <c r="F9" s="545"/>
      <c r="G9" s="545"/>
      <c r="H9" s="545"/>
      <c r="I9" s="545"/>
    </row>
    <row r="10" spans="1:9" x14ac:dyDescent="0.25">
      <c r="A10" s="545"/>
      <c r="B10" s="545"/>
      <c r="C10" s="545"/>
      <c r="D10" s="545"/>
      <c r="E10" s="545"/>
      <c r="F10" s="545"/>
      <c r="G10" s="545"/>
      <c r="H10" s="545"/>
      <c r="I10" s="545"/>
    </row>
    <row r="11" spans="1:9" x14ac:dyDescent="0.25">
      <c r="A11" s="545"/>
      <c r="B11" s="545"/>
      <c r="C11" s="545"/>
      <c r="D11" s="545"/>
      <c r="E11" s="545"/>
      <c r="F11" s="545"/>
      <c r="G11" s="545"/>
      <c r="H11" s="545"/>
      <c r="I11" s="545"/>
    </row>
    <row r="12" spans="1:9" x14ac:dyDescent="0.25">
      <c r="A12" s="545"/>
      <c r="B12" s="545"/>
      <c r="C12" s="545"/>
      <c r="D12" s="545"/>
      <c r="E12" s="545"/>
      <c r="F12" s="545"/>
      <c r="G12" s="545"/>
      <c r="H12" s="545"/>
      <c r="I12" s="545"/>
    </row>
    <row r="13" spans="1:9" x14ac:dyDescent="0.25">
      <c r="A13" s="545"/>
      <c r="B13" s="545"/>
      <c r="C13" s="545"/>
      <c r="D13" s="545"/>
      <c r="E13" s="545"/>
      <c r="F13" s="545"/>
      <c r="G13" s="545"/>
      <c r="H13" s="545"/>
      <c r="I13" s="545"/>
    </row>
    <row r="14" spans="1:9" x14ac:dyDescent="0.25">
      <c r="A14" s="545"/>
      <c r="B14" s="545"/>
      <c r="C14" s="545"/>
      <c r="D14" s="545"/>
      <c r="E14" s="545"/>
      <c r="F14" s="545"/>
      <c r="G14" s="545"/>
      <c r="H14" s="545"/>
      <c r="I14" s="545"/>
    </row>
    <row r="15" spans="1:9" ht="19.5" customHeight="1" thickBot="1" x14ac:dyDescent="0.35">
      <c r="A15" s="438"/>
    </row>
    <row r="16" spans="1:9" ht="19.5" customHeight="1" thickBot="1" x14ac:dyDescent="0.35">
      <c r="A16" s="549" t="s">
        <v>31</v>
      </c>
      <c r="B16" s="550"/>
      <c r="C16" s="550"/>
      <c r="D16" s="550"/>
      <c r="E16" s="550"/>
      <c r="F16" s="550"/>
      <c r="G16" s="550"/>
      <c r="H16" s="574"/>
    </row>
    <row r="17" spans="1:14" ht="20.25" customHeight="1" x14ac:dyDescent="0.25">
      <c r="A17" s="575" t="s">
        <v>47</v>
      </c>
      <c r="B17" s="575"/>
      <c r="C17" s="575"/>
      <c r="D17" s="575"/>
      <c r="E17" s="575"/>
      <c r="F17" s="575"/>
      <c r="G17" s="575"/>
      <c r="H17" s="575"/>
    </row>
    <row r="18" spans="1:14" ht="26.25" customHeight="1" x14ac:dyDescent="0.4">
      <c r="A18" s="340" t="s">
        <v>33</v>
      </c>
      <c r="B18" s="573" t="s">
        <v>5</v>
      </c>
      <c r="C18" s="573"/>
      <c r="D18" s="486"/>
      <c r="E18" s="341"/>
      <c r="F18" s="495"/>
      <c r="G18" s="495"/>
      <c r="H18" s="495"/>
    </row>
    <row r="19" spans="1:14" ht="26.25" customHeight="1" x14ac:dyDescent="0.4">
      <c r="A19" s="340" t="s">
        <v>34</v>
      </c>
      <c r="B19" s="521" t="s">
        <v>7</v>
      </c>
      <c r="C19" s="495">
        <v>1</v>
      </c>
      <c r="D19" s="495"/>
      <c r="E19" s="495"/>
      <c r="F19" s="495"/>
      <c r="G19" s="495"/>
      <c r="H19" s="495"/>
    </row>
    <row r="20" spans="1:14" ht="26.25" customHeight="1" x14ac:dyDescent="0.4">
      <c r="A20" s="340" t="s">
        <v>35</v>
      </c>
      <c r="B20" s="576" t="s">
        <v>9</v>
      </c>
      <c r="C20" s="576"/>
      <c r="D20" s="495"/>
      <c r="E20" s="495"/>
      <c r="F20" s="495"/>
      <c r="G20" s="495"/>
      <c r="H20" s="495"/>
    </row>
    <row r="21" spans="1:14" ht="26.25" customHeight="1" x14ac:dyDescent="0.4">
      <c r="A21" s="340" t="s">
        <v>36</v>
      </c>
      <c r="B21" s="576" t="s">
        <v>158</v>
      </c>
      <c r="C21" s="576"/>
      <c r="D21" s="576"/>
      <c r="E21" s="576"/>
      <c r="F21" s="576"/>
      <c r="G21" s="576"/>
      <c r="H21" s="576"/>
      <c r="I21" s="344"/>
    </row>
    <row r="22" spans="1:14" ht="26.25" customHeight="1" x14ac:dyDescent="0.4">
      <c r="A22" s="340" t="s">
        <v>37</v>
      </c>
      <c r="B22" s="345" t="s">
        <v>159</v>
      </c>
      <c r="C22" s="495"/>
      <c r="D22" s="495"/>
      <c r="E22" s="495"/>
      <c r="F22" s="495"/>
      <c r="G22" s="495"/>
      <c r="H22" s="495"/>
    </row>
    <row r="23" spans="1:14" ht="26.25" customHeight="1" x14ac:dyDescent="0.4">
      <c r="A23" s="340" t="s">
        <v>38</v>
      </c>
      <c r="B23" s="345" t="s">
        <v>160</v>
      </c>
      <c r="C23" s="495"/>
      <c r="D23" s="495"/>
      <c r="E23" s="495"/>
      <c r="F23" s="495"/>
      <c r="G23" s="495"/>
      <c r="H23" s="495"/>
    </row>
    <row r="24" spans="1:14" ht="18.75" x14ac:dyDescent="0.3">
      <c r="A24" s="340"/>
      <c r="B24" s="346"/>
    </row>
    <row r="25" spans="1:14" ht="18.75" x14ac:dyDescent="0.3">
      <c r="A25" s="347" t="s">
        <v>1</v>
      </c>
      <c r="B25" s="346"/>
    </row>
    <row r="26" spans="1:14" ht="26.25" customHeight="1" x14ac:dyDescent="0.4">
      <c r="A26" s="480" t="s">
        <v>4</v>
      </c>
      <c r="B26" s="573" t="s">
        <v>165</v>
      </c>
      <c r="C26" s="573"/>
    </row>
    <row r="27" spans="1:14" ht="26.25" customHeight="1" x14ac:dyDescent="0.4">
      <c r="A27" s="449" t="s">
        <v>61</v>
      </c>
      <c r="B27" s="552" t="s">
        <v>166</v>
      </c>
      <c r="C27" s="552"/>
    </row>
    <row r="28" spans="1:14" ht="27" customHeight="1" thickBot="1" x14ac:dyDescent="0.45">
      <c r="A28" s="449" t="s">
        <v>6</v>
      </c>
      <c r="B28" s="441">
        <v>99.3</v>
      </c>
    </row>
    <row r="29" spans="1:14" s="16" customFormat="1" ht="27" customHeight="1" thickBot="1" x14ac:dyDescent="0.45">
      <c r="A29" s="449" t="s">
        <v>62</v>
      </c>
      <c r="B29" s="351">
        <v>0</v>
      </c>
      <c r="C29" s="566" t="s">
        <v>109</v>
      </c>
      <c r="D29" s="567"/>
      <c r="E29" s="567"/>
      <c r="F29" s="567"/>
      <c r="G29" s="568"/>
      <c r="I29" s="352"/>
      <c r="J29" s="352"/>
      <c r="K29" s="352"/>
      <c r="L29" s="352"/>
    </row>
    <row r="30" spans="1:14" s="16" customFormat="1" ht="19.5" customHeight="1" thickBot="1" x14ac:dyDescent="0.35">
      <c r="A30" s="449" t="s">
        <v>64</v>
      </c>
      <c r="B30" s="524">
        <f>B28-B29</f>
        <v>99.3</v>
      </c>
      <c r="C30" s="354"/>
      <c r="D30" s="354"/>
      <c r="E30" s="354"/>
      <c r="F30" s="354"/>
      <c r="G30" s="355"/>
      <c r="I30" s="352"/>
      <c r="J30" s="352"/>
      <c r="K30" s="352"/>
      <c r="L30" s="352"/>
    </row>
    <row r="31" spans="1:14" s="16" customFormat="1" ht="27" customHeight="1" thickBot="1" x14ac:dyDescent="0.45">
      <c r="A31" s="449" t="s">
        <v>65</v>
      </c>
      <c r="B31" s="356">
        <v>1</v>
      </c>
      <c r="C31" s="555" t="s">
        <v>66</v>
      </c>
      <c r="D31" s="556"/>
      <c r="E31" s="556"/>
      <c r="F31" s="556"/>
      <c r="G31" s="556"/>
      <c r="H31" s="569"/>
      <c r="I31" s="352"/>
      <c r="J31" s="352"/>
      <c r="K31" s="352"/>
      <c r="L31" s="352"/>
    </row>
    <row r="32" spans="1:14" s="16" customFormat="1" ht="27" customHeight="1" thickBot="1" x14ac:dyDescent="0.45">
      <c r="A32" s="449" t="s">
        <v>67</v>
      </c>
      <c r="B32" s="356">
        <v>1</v>
      </c>
      <c r="C32" s="555" t="s">
        <v>68</v>
      </c>
      <c r="D32" s="556"/>
      <c r="E32" s="556"/>
      <c r="F32" s="556"/>
      <c r="G32" s="556"/>
      <c r="H32" s="569"/>
      <c r="I32" s="352"/>
      <c r="J32" s="352"/>
      <c r="K32" s="352"/>
      <c r="L32" s="357"/>
      <c r="M32" s="357"/>
      <c r="N32" s="358"/>
    </row>
    <row r="33" spans="1:14" s="16" customFormat="1" ht="17.25" customHeight="1" x14ac:dyDescent="0.3">
      <c r="A33" s="449"/>
      <c r="B33" s="359"/>
      <c r="C33" s="360"/>
      <c r="D33" s="360"/>
      <c r="E33" s="360"/>
      <c r="F33" s="360"/>
      <c r="G33" s="360"/>
      <c r="H33" s="360"/>
      <c r="I33" s="352"/>
      <c r="J33" s="352"/>
      <c r="K33" s="352"/>
      <c r="L33" s="357"/>
      <c r="M33" s="357"/>
      <c r="N33" s="358"/>
    </row>
    <row r="34" spans="1:14" s="16" customFormat="1" ht="18.75" x14ac:dyDescent="0.3">
      <c r="A34" s="449" t="s">
        <v>69</v>
      </c>
      <c r="B34" s="361">
        <f>B31/B32</f>
        <v>1</v>
      </c>
      <c r="C34" s="438" t="s">
        <v>70</v>
      </c>
      <c r="D34" s="438"/>
      <c r="E34" s="438"/>
      <c r="F34" s="438"/>
      <c r="G34" s="438"/>
      <c r="I34" s="352"/>
      <c r="J34" s="352"/>
      <c r="K34" s="352"/>
      <c r="L34" s="357"/>
      <c r="M34" s="357"/>
      <c r="N34" s="358"/>
    </row>
    <row r="35" spans="1:14" s="16" customFormat="1" ht="19.5" customHeight="1" thickBot="1" x14ac:dyDescent="0.35">
      <c r="A35" s="449"/>
      <c r="B35" s="524"/>
      <c r="G35" s="438"/>
      <c r="I35" s="352"/>
      <c r="J35" s="352"/>
      <c r="K35" s="352"/>
      <c r="L35" s="357"/>
      <c r="M35" s="357"/>
      <c r="N35" s="358"/>
    </row>
    <row r="36" spans="1:14" s="16" customFormat="1" ht="27" customHeight="1" thickBot="1" x14ac:dyDescent="0.45">
      <c r="A36" s="362" t="s">
        <v>127</v>
      </c>
      <c r="B36" s="363">
        <v>100</v>
      </c>
      <c r="C36" s="438"/>
      <c r="D36" s="547" t="s">
        <v>72</v>
      </c>
      <c r="E36" s="570"/>
      <c r="F36" s="547" t="s">
        <v>73</v>
      </c>
      <c r="G36" s="548"/>
      <c r="J36" s="352"/>
      <c r="K36" s="352"/>
      <c r="L36" s="357"/>
      <c r="M36" s="357"/>
      <c r="N36" s="358"/>
    </row>
    <row r="37" spans="1:14" s="16" customFormat="1" ht="27" customHeight="1" thickBot="1" x14ac:dyDescent="0.45">
      <c r="A37" s="364" t="s">
        <v>74</v>
      </c>
      <c r="B37" s="365">
        <v>10</v>
      </c>
      <c r="C37" s="366" t="s">
        <v>75</v>
      </c>
      <c r="D37" s="367" t="s">
        <v>76</v>
      </c>
      <c r="E37" s="368" t="s">
        <v>77</v>
      </c>
      <c r="F37" s="367" t="s">
        <v>76</v>
      </c>
      <c r="G37" s="369" t="s">
        <v>77</v>
      </c>
      <c r="I37" s="370" t="s">
        <v>128</v>
      </c>
      <c r="J37" s="352"/>
      <c r="K37" s="352"/>
      <c r="L37" s="357"/>
      <c r="M37" s="357"/>
      <c r="N37" s="358"/>
    </row>
    <row r="38" spans="1:14" s="16" customFormat="1" ht="26.25" customHeight="1" x14ac:dyDescent="0.4">
      <c r="A38" s="364" t="s">
        <v>78</v>
      </c>
      <c r="B38" s="365">
        <v>100</v>
      </c>
      <c r="C38" s="371">
        <v>1</v>
      </c>
      <c r="D38" s="372">
        <v>4143376</v>
      </c>
      <c r="E38" s="373">
        <f>IF(ISBLANK(D38),"-",$D$48/$D$45*D38)</f>
        <v>4069286.8081068606</v>
      </c>
      <c r="F38" s="372">
        <v>4346991</v>
      </c>
      <c r="G38" s="374">
        <f>IF(ISBLANK(F38),"-",$D$48/$F$45*F38)</f>
        <v>4038981.3863831777</v>
      </c>
      <c r="I38" s="375"/>
      <c r="J38" s="352"/>
      <c r="K38" s="352"/>
      <c r="L38" s="357"/>
      <c r="M38" s="357"/>
      <c r="N38" s="358"/>
    </row>
    <row r="39" spans="1:14" s="16" customFormat="1" ht="26.25" customHeight="1" x14ac:dyDescent="0.4">
      <c r="A39" s="364" t="s">
        <v>79</v>
      </c>
      <c r="B39" s="365">
        <v>1</v>
      </c>
      <c r="C39" s="396">
        <v>2</v>
      </c>
      <c r="D39" s="377">
        <v>4114340</v>
      </c>
      <c r="E39" s="378">
        <f>IF(ISBLANK(D39),"-",$D$48/$D$45*D39)</f>
        <v>4040770.0112339268</v>
      </c>
      <c r="F39" s="377">
        <v>4349135</v>
      </c>
      <c r="G39" s="379">
        <f>IF(ISBLANK(F39),"-",$D$48/$F$45*F39)</f>
        <v>4040973.4715042203</v>
      </c>
      <c r="I39" s="577">
        <f>ABS((F43/D43*D42)-F42)/D42</f>
        <v>4.7171710175275203E-3</v>
      </c>
      <c r="J39" s="352"/>
      <c r="K39" s="352"/>
      <c r="L39" s="357"/>
      <c r="M39" s="357"/>
      <c r="N39" s="358"/>
    </row>
    <row r="40" spans="1:14" ht="26.25" customHeight="1" x14ac:dyDescent="0.4">
      <c r="A40" s="364" t="s">
        <v>80</v>
      </c>
      <c r="B40" s="365">
        <v>1</v>
      </c>
      <c r="C40" s="396">
        <v>3</v>
      </c>
      <c r="D40" s="377">
        <v>4130585</v>
      </c>
      <c r="E40" s="378">
        <f>IF(ISBLANK(D40),"-",$D$48/$D$45*D40)</f>
        <v>4056724.5285641653</v>
      </c>
      <c r="F40" s="377">
        <v>4340047</v>
      </c>
      <c r="G40" s="379">
        <f>IF(ISBLANK(F40),"-",$D$48/$F$45*F40)</f>
        <v>4032529.4092000998</v>
      </c>
      <c r="I40" s="577"/>
      <c r="L40" s="357"/>
      <c r="M40" s="357"/>
      <c r="N40" s="438"/>
    </row>
    <row r="41" spans="1:14" ht="27" customHeight="1" thickBot="1" x14ac:dyDescent="0.45">
      <c r="A41" s="364" t="s">
        <v>81</v>
      </c>
      <c r="B41" s="365">
        <v>1</v>
      </c>
      <c r="C41" s="381">
        <v>4</v>
      </c>
      <c r="D41" s="382"/>
      <c r="E41" s="383" t="str">
        <f>IF(ISBLANK(D41),"-",$D$48/$D$45*D41)</f>
        <v>-</v>
      </c>
      <c r="F41" s="382"/>
      <c r="G41" s="384" t="str">
        <f>IF(ISBLANK(F41),"-",$D$48/$F$45*F41)</f>
        <v>-</v>
      </c>
      <c r="I41" s="385"/>
      <c r="L41" s="357"/>
      <c r="M41" s="357"/>
      <c r="N41" s="438"/>
    </row>
    <row r="42" spans="1:14" ht="27" customHeight="1" thickBot="1" x14ac:dyDescent="0.45">
      <c r="A42" s="364" t="s">
        <v>82</v>
      </c>
      <c r="B42" s="365">
        <v>1</v>
      </c>
      <c r="C42" s="386" t="s">
        <v>83</v>
      </c>
      <c r="D42" s="387">
        <f>AVERAGE(D38:D41)</f>
        <v>4129433.6666666665</v>
      </c>
      <c r="E42" s="388">
        <f>AVERAGE(E38:E41)</f>
        <v>4055593.7826349847</v>
      </c>
      <c r="F42" s="387">
        <f>AVERAGE(F38:F41)</f>
        <v>4345391</v>
      </c>
      <c r="G42" s="389">
        <f>AVERAGE(G38:G41)</f>
        <v>4037494.7556958329</v>
      </c>
      <c r="H42" s="390"/>
    </row>
    <row r="43" spans="1:14" ht="26.25" customHeight="1" x14ac:dyDescent="0.4">
      <c r="A43" s="364" t="s">
        <v>84</v>
      </c>
      <c r="B43" s="365">
        <v>1</v>
      </c>
      <c r="C43" s="391" t="s">
        <v>129</v>
      </c>
      <c r="D43" s="392">
        <v>13.33</v>
      </c>
      <c r="E43" s="438"/>
      <c r="F43" s="392">
        <v>14.09</v>
      </c>
      <c r="H43" s="390"/>
    </row>
    <row r="44" spans="1:14" ht="26.25" customHeight="1" x14ac:dyDescent="0.4">
      <c r="A44" s="364" t="s">
        <v>86</v>
      </c>
      <c r="B44" s="365">
        <v>1</v>
      </c>
      <c r="C44" s="393" t="s">
        <v>130</v>
      </c>
      <c r="D44" s="394">
        <f>D43*$B$34</f>
        <v>13.33</v>
      </c>
      <c r="E44" s="457"/>
      <c r="F44" s="394">
        <f>F43*$B$34</f>
        <v>14.09</v>
      </c>
      <c r="H44" s="390"/>
    </row>
    <row r="45" spans="1:14" ht="19.5" customHeight="1" thickBot="1" x14ac:dyDescent="0.35">
      <c r="A45" s="364" t="s">
        <v>88</v>
      </c>
      <c r="B45" s="396">
        <f>(B44/B43)*(B42/B41)*(B40/B39)*(B38/B37)*B36</f>
        <v>1000</v>
      </c>
      <c r="C45" s="393" t="s">
        <v>89</v>
      </c>
      <c r="D45" s="397">
        <f>D44*$B$30/100</f>
        <v>13.236689999999999</v>
      </c>
      <c r="E45" s="434"/>
      <c r="F45" s="397">
        <f>F44*$B$30/100</f>
        <v>13.99137</v>
      </c>
      <c r="H45" s="390"/>
    </row>
    <row r="46" spans="1:14" ht="19.5" customHeight="1" thickBot="1" x14ac:dyDescent="0.35">
      <c r="A46" s="557" t="s">
        <v>90</v>
      </c>
      <c r="B46" s="558"/>
      <c r="C46" s="393" t="s">
        <v>91</v>
      </c>
      <c r="D46" s="399">
        <f>D45/$B$45</f>
        <v>1.3236689999999999E-2</v>
      </c>
      <c r="E46" s="400"/>
      <c r="F46" s="401">
        <f>F45/$B$45</f>
        <v>1.399137E-2</v>
      </c>
      <c r="H46" s="390"/>
    </row>
    <row r="47" spans="1:14" ht="27" customHeight="1" thickBot="1" x14ac:dyDescent="0.45">
      <c r="A47" s="559"/>
      <c r="B47" s="560"/>
      <c r="C47" s="402" t="s">
        <v>131</v>
      </c>
      <c r="D47" s="403">
        <v>1.2999999999999999E-2</v>
      </c>
      <c r="E47" s="404"/>
      <c r="F47" s="400"/>
      <c r="H47" s="390"/>
    </row>
    <row r="48" spans="1:14" ht="18.75" x14ac:dyDescent="0.3">
      <c r="C48" s="405" t="s">
        <v>93</v>
      </c>
      <c r="D48" s="397">
        <f>D47*$B$45</f>
        <v>13</v>
      </c>
      <c r="F48" s="406"/>
      <c r="H48" s="390"/>
    </row>
    <row r="49" spans="1:12" ht="19.5" customHeight="1" thickBot="1" x14ac:dyDescent="0.35">
      <c r="C49" s="407" t="s">
        <v>94</v>
      </c>
      <c r="D49" s="408">
        <f>D48/B34</f>
        <v>13</v>
      </c>
      <c r="F49" s="406"/>
      <c r="H49" s="390"/>
    </row>
    <row r="50" spans="1:12" ht="18.75" x14ac:dyDescent="0.3">
      <c r="C50" s="362" t="s">
        <v>95</v>
      </c>
      <c r="D50" s="409">
        <f>AVERAGE(E38:E41,G38:G41)</f>
        <v>4046544.2691654083</v>
      </c>
      <c r="F50" s="410"/>
      <c r="H50" s="390"/>
    </row>
    <row r="51" spans="1:12" ht="18.75" x14ac:dyDescent="0.3">
      <c r="C51" s="364" t="s">
        <v>60</v>
      </c>
      <c r="D51" s="411">
        <f>STDEV(E38:E41,G38:G41)/D50</f>
        <v>3.3863265013408428E-3</v>
      </c>
      <c r="F51" s="410"/>
      <c r="H51" s="390"/>
    </row>
    <row r="52" spans="1:12" ht="19.5" customHeight="1" thickBot="1" x14ac:dyDescent="0.35">
      <c r="C52" s="412" t="s">
        <v>20</v>
      </c>
      <c r="D52" s="413">
        <f>COUNT(E38:E41,G38:G41)</f>
        <v>6</v>
      </c>
      <c r="F52" s="410"/>
    </row>
    <row r="54" spans="1:12" ht="18.75" x14ac:dyDescent="0.3">
      <c r="A54" s="414" t="s">
        <v>1</v>
      </c>
      <c r="B54" s="415" t="s">
        <v>96</v>
      </c>
    </row>
    <row r="55" spans="1:12" ht="18.75" x14ac:dyDescent="0.3">
      <c r="A55" s="438" t="s">
        <v>49</v>
      </c>
      <c r="B55" s="417" t="str">
        <f>B21</f>
        <v>Each Caplet contains Paracetemol B.P 500mg &amp;Caffeine 65mg</v>
      </c>
    </row>
    <row r="56" spans="1:12" ht="26.25" customHeight="1" x14ac:dyDescent="0.4">
      <c r="A56" s="417" t="s">
        <v>97</v>
      </c>
      <c r="B56" s="418">
        <v>65</v>
      </c>
      <c r="C56" s="438" t="str">
        <f>B20</f>
        <v>Paracetamol 500mg and caffeine 65 mg.</v>
      </c>
      <c r="H56" s="457"/>
    </row>
    <row r="57" spans="1:12" ht="18.75" x14ac:dyDescent="0.3">
      <c r="A57" s="417" t="s">
        <v>132</v>
      </c>
      <c r="B57" s="487">
        <f>Uniformity!C46</f>
        <v>689.404</v>
      </c>
      <c r="H57" s="457"/>
    </row>
    <row r="58" spans="1:12" ht="19.5" customHeight="1" thickBot="1" x14ac:dyDescent="0.35">
      <c r="H58" s="457"/>
    </row>
    <row r="59" spans="1:12" s="16" customFormat="1" ht="27" customHeight="1" thickBot="1" x14ac:dyDescent="0.45">
      <c r="A59" s="362" t="s">
        <v>133</v>
      </c>
      <c r="B59" s="363">
        <v>200</v>
      </c>
      <c r="C59" s="438"/>
      <c r="D59" s="420" t="s">
        <v>134</v>
      </c>
      <c r="E59" s="510" t="s">
        <v>75</v>
      </c>
      <c r="F59" s="510" t="s">
        <v>76</v>
      </c>
      <c r="G59" s="510" t="s">
        <v>135</v>
      </c>
      <c r="H59" s="366" t="s">
        <v>136</v>
      </c>
      <c r="L59" s="352"/>
    </row>
    <row r="60" spans="1:12" s="16" customFormat="1" ht="26.25" customHeight="1" x14ac:dyDescent="0.4">
      <c r="A60" s="364" t="s">
        <v>137</v>
      </c>
      <c r="B60" s="365">
        <v>2</v>
      </c>
      <c r="C60" s="578" t="s">
        <v>138</v>
      </c>
      <c r="D60" s="581">
        <v>694.06</v>
      </c>
      <c r="E60" s="515">
        <v>1</v>
      </c>
      <c r="F60" s="423"/>
      <c r="G60" s="488" t="str">
        <f>IF(ISBLANK(F60),"-",(F60/$D$50*$D$47*$B$68)*($B$57/$D$60))</f>
        <v>-</v>
      </c>
      <c r="H60" s="506" t="str">
        <f t="shared" ref="H60:H71" si="0">IF(ISBLANK(F60),"-",(G60/$B$56)*100)</f>
        <v>-</v>
      </c>
      <c r="L60" s="352"/>
    </row>
    <row r="61" spans="1:12" s="16" customFormat="1" ht="26.25" customHeight="1" x14ac:dyDescent="0.4">
      <c r="A61" s="364" t="s">
        <v>117</v>
      </c>
      <c r="B61" s="365">
        <v>50</v>
      </c>
      <c r="C61" s="579"/>
      <c r="D61" s="582"/>
      <c r="E61" s="511">
        <v>2</v>
      </c>
      <c r="F61" s="377"/>
      <c r="G61" s="489" t="str">
        <f>IF(ISBLANK(F61),"-",(F61/$D$50*$D$47*$B$68)*($B$57/$D$60))</f>
        <v>-</v>
      </c>
      <c r="H61" s="507" t="str">
        <f t="shared" si="0"/>
        <v>-</v>
      </c>
      <c r="L61" s="352"/>
    </row>
    <row r="62" spans="1:12" s="16" customFormat="1" ht="26.25" customHeight="1" x14ac:dyDescent="0.4">
      <c r="A62" s="364" t="s">
        <v>118</v>
      </c>
      <c r="B62" s="365">
        <v>1</v>
      </c>
      <c r="C62" s="579"/>
      <c r="D62" s="582"/>
      <c r="E62" s="511">
        <v>3</v>
      </c>
      <c r="F62" s="425"/>
      <c r="G62" s="489" t="str">
        <f>IF(ISBLANK(F62),"-",(F62/$D$50*$D$47*$B$68)*($B$57/$D$60))</f>
        <v>-</v>
      </c>
      <c r="H62" s="507" t="str">
        <f t="shared" si="0"/>
        <v>-</v>
      </c>
      <c r="L62" s="352"/>
    </row>
    <row r="63" spans="1:12" ht="27" customHeight="1" thickBot="1" x14ac:dyDescent="0.45">
      <c r="A63" s="364" t="s">
        <v>119</v>
      </c>
      <c r="B63" s="365">
        <v>1</v>
      </c>
      <c r="C63" s="580"/>
      <c r="D63" s="583"/>
      <c r="E63" s="512">
        <v>4</v>
      </c>
      <c r="F63" s="427"/>
      <c r="G63" s="489" t="str">
        <f>IF(ISBLANK(F63),"-",(F63/$D$50*$D$47*$B$68)*($B$57/$D$60))</f>
        <v>-</v>
      </c>
      <c r="H63" s="507" t="str">
        <f t="shared" si="0"/>
        <v>-</v>
      </c>
    </row>
    <row r="64" spans="1:12" ht="26.25" customHeight="1" x14ac:dyDescent="0.4">
      <c r="A64" s="364" t="s">
        <v>120</v>
      </c>
      <c r="B64" s="365">
        <v>1</v>
      </c>
      <c r="C64" s="578" t="s">
        <v>139</v>
      </c>
      <c r="D64" s="581">
        <v>687.27</v>
      </c>
      <c r="E64" s="515">
        <v>1</v>
      </c>
      <c r="F64" s="423">
        <v>3955759</v>
      </c>
      <c r="G64" s="488">
        <f>IF(ISBLANK(F64),"-",(F64/$D$50*$D$47*$B$68)*($B$57/$D$64))</f>
        <v>63.739007625828052</v>
      </c>
      <c r="H64" s="506">
        <f t="shared" si="0"/>
        <v>98.060011732043151</v>
      </c>
    </row>
    <row r="65" spans="1:8" ht="26.25" customHeight="1" x14ac:dyDescent="0.4">
      <c r="A65" s="364" t="s">
        <v>121</v>
      </c>
      <c r="B65" s="365">
        <v>1</v>
      </c>
      <c r="C65" s="579"/>
      <c r="D65" s="582"/>
      <c r="E65" s="511">
        <v>2</v>
      </c>
      <c r="F65" s="377">
        <v>4169907</v>
      </c>
      <c r="G65" s="489">
        <f>IF(ISBLANK(F65),"-",(F65/$D$50*$D$47*$B$68)*($B$57/$D$64))</f>
        <v>67.189566925587187</v>
      </c>
      <c r="H65" s="507">
        <f t="shared" si="0"/>
        <v>103.36856450090337</v>
      </c>
    </row>
    <row r="66" spans="1:8" ht="26.25" customHeight="1" x14ac:dyDescent="0.4">
      <c r="A66" s="364" t="s">
        <v>122</v>
      </c>
      <c r="B66" s="365">
        <v>1</v>
      </c>
      <c r="C66" s="579"/>
      <c r="D66" s="582"/>
      <c r="E66" s="511">
        <v>3</v>
      </c>
      <c r="F66" s="377">
        <v>4014170</v>
      </c>
      <c r="G66" s="489">
        <f>IF(ISBLANK(F66),"-",(F66/$D$50*$D$47*$B$68)*($B$57/$D$64))</f>
        <v>64.680182043792414</v>
      </c>
      <c r="H66" s="507">
        <f t="shared" si="0"/>
        <v>99.507972375065251</v>
      </c>
    </row>
    <row r="67" spans="1:8" ht="27" customHeight="1" thickBot="1" x14ac:dyDescent="0.45">
      <c r="A67" s="364" t="s">
        <v>123</v>
      </c>
      <c r="B67" s="365">
        <v>1</v>
      </c>
      <c r="C67" s="580"/>
      <c r="D67" s="583"/>
      <c r="E67" s="512">
        <v>4</v>
      </c>
      <c r="F67" s="427"/>
      <c r="G67" s="505" t="str">
        <f>IF(ISBLANK(F67),"-",(F67/$D$50*$D$47*$B$68)*($B$57/$D$64))</f>
        <v>-</v>
      </c>
      <c r="H67" s="508" t="str">
        <f t="shared" si="0"/>
        <v>-</v>
      </c>
    </row>
    <row r="68" spans="1:8" ht="26.25" customHeight="1" x14ac:dyDescent="0.4">
      <c r="A68" s="364" t="s">
        <v>124</v>
      </c>
      <c r="B68" s="428">
        <f>(B67/B66)*(B65/B64)*(B63/B62)*(B61/B60)*B59</f>
        <v>5000</v>
      </c>
      <c r="C68" s="578" t="s">
        <v>140</v>
      </c>
      <c r="D68" s="581">
        <v>687.2</v>
      </c>
      <c r="E68" s="515">
        <v>1</v>
      </c>
      <c r="F68" s="423">
        <v>4052299</v>
      </c>
      <c r="G68" s="488">
        <f>IF(ISBLANK(F68),"-",(F68/$D$50*$D$47*$B$68)*($B$57/$D$68))</f>
        <v>65.301204373894876</v>
      </c>
      <c r="H68" s="507">
        <f t="shared" si="0"/>
        <v>100.46339134445365</v>
      </c>
    </row>
    <row r="69" spans="1:8" ht="27" customHeight="1" thickBot="1" x14ac:dyDescent="0.45">
      <c r="A69" s="412" t="s">
        <v>141</v>
      </c>
      <c r="B69" s="429">
        <f>(D47*B68)/B56*B57</f>
        <v>689.404</v>
      </c>
      <c r="C69" s="579"/>
      <c r="D69" s="582"/>
      <c r="E69" s="511">
        <v>2</v>
      </c>
      <c r="F69" s="377">
        <v>4094145</v>
      </c>
      <c r="G69" s="489">
        <f>IF(ISBLANK(F69),"-",(F69/$D$50*$D$47*$B$68)*($B$57/$D$68))</f>
        <v>65.975536203365024</v>
      </c>
      <c r="H69" s="507">
        <f t="shared" si="0"/>
        <v>101.50082492825388</v>
      </c>
    </row>
    <row r="70" spans="1:8" ht="26.25" customHeight="1" x14ac:dyDescent="0.4">
      <c r="A70" s="585" t="s">
        <v>90</v>
      </c>
      <c r="B70" s="586"/>
      <c r="C70" s="579"/>
      <c r="D70" s="582"/>
      <c r="E70" s="511">
        <v>3</v>
      </c>
      <c r="F70" s="377">
        <v>4125364</v>
      </c>
      <c r="G70" s="489">
        <f>IF(ISBLANK(F70),"-",(F70/$D$50*$D$47*$B$68)*($B$57/$D$68))</f>
        <v>66.478618108068673</v>
      </c>
      <c r="H70" s="507">
        <f t="shared" si="0"/>
        <v>102.27479708933642</v>
      </c>
    </row>
    <row r="71" spans="1:8" ht="27" customHeight="1" thickBot="1" x14ac:dyDescent="0.45">
      <c r="A71" s="587"/>
      <c r="B71" s="588"/>
      <c r="C71" s="584"/>
      <c r="D71" s="583"/>
      <c r="E71" s="512">
        <v>4</v>
      </c>
      <c r="F71" s="427"/>
      <c r="G71" s="505" t="str">
        <f>IF(ISBLANK(F71),"-",(F71/$D$50*$D$47*$B$68)*($B$57/$D$68))</f>
        <v>-</v>
      </c>
      <c r="H71" s="508" t="str">
        <f t="shared" si="0"/>
        <v>-</v>
      </c>
    </row>
    <row r="72" spans="1:8" ht="26.25" customHeight="1" x14ac:dyDescent="0.4">
      <c r="A72" s="457"/>
      <c r="B72" s="457"/>
      <c r="C72" s="457"/>
      <c r="D72" s="457"/>
      <c r="E72" s="457"/>
      <c r="F72" s="432" t="s">
        <v>83</v>
      </c>
      <c r="G72" s="494">
        <f>AVERAGE(G60:G71)</f>
        <v>65.560685880089366</v>
      </c>
      <c r="H72" s="509">
        <f>AVERAGE(H60:H71)</f>
        <v>100.86259366167594</v>
      </c>
    </row>
    <row r="73" spans="1:8" ht="26.25" customHeight="1" x14ac:dyDescent="0.4">
      <c r="C73" s="457"/>
      <c r="D73" s="457"/>
      <c r="E73" s="457"/>
      <c r="F73" s="433" t="s">
        <v>60</v>
      </c>
      <c r="G73" s="496">
        <f>STDEV(G60:G71)/G72</f>
        <v>1.9086529245918443E-2</v>
      </c>
      <c r="H73" s="496">
        <f>STDEV(H60:H71)/H72</f>
        <v>1.9086529245918485E-2</v>
      </c>
    </row>
    <row r="74" spans="1:8" ht="27" customHeight="1" thickBot="1" x14ac:dyDescent="0.45">
      <c r="A74" s="457"/>
      <c r="B74" s="457"/>
      <c r="C74" s="457"/>
      <c r="D74" s="457"/>
      <c r="E74" s="434"/>
      <c r="F74" s="435" t="s">
        <v>20</v>
      </c>
      <c r="G74" s="436">
        <f>COUNT(G60:G71)</f>
        <v>6</v>
      </c>
      <c r="H74" s="436">
        <f>COUNT(H60:H71)</f>
        <v>6</v>
      </c>
    </row>
    <row r="76" spans="1:8" ht="26.25" customHeight="1" x14ac:dyDescent="0.4">
      <c r="A76" s="480" t="s">
        <v>142</v>
      </c>
      <c r="B76" s="449" t="s">
        <v>104</v>
      </c>
      <c r="C76" s="561" t="str">
        <f>B26</f>
        <v>Cafeine</v>
      </c>
      <c r="D76" s="561"/>
      <c r="E76" s="438" t="s">
        <v>105</v>
      </c>
      <c r="F76" s="438"/>
      <c r="G76" s="439">
        <f>H72</f>
        <v>100.86259366167594</v>
      </c>
      <c r="H76" s="524"/>
    </row>
    <row r="77" spans="1:8" ht="18.75" x14ac:dyDescent="0.3">
      <c r="A77" s="347" t="s">
        <v>107</v>
      </c>
      <c r="B77" s="347" t="s">
        <v>108</v>
      </c>
    </row>
    <row r="78" spans="1:8" ht="18.75" x14ac:dyDescent="0.3">
      <c r="A78" s="347"/>
      <c r="B78" s="347"/>
    </row>
    <row r="79" spans="1:8" ht="26.25" customHeight="1" x14ac:dyDescent="0.4">
      <c r="A79" s="480" t="s">
        <v>4</v>
      </c>
      <c r="B79" s="551"/>
      <c r="C79" s="551"/>
    </row>
    <row r="80" spans="1:8" ht="26.25" customHeight="1" x14ac:dyDescent="0.4">
      <c r="A80" s="449" t="s">
        <v>61</v>
      </c>
      <c r="B80" s="551"/>
      <c r="C80" s="551"/>
    </row>
    <row r="81" spans="1:12" ht="27" customHeight="1" thickBot="1" x14ac:dyDescent="0.45">
      <c r="A81" s="449" t="s">
        <v>6</v>
      </c>
      <c r="B81" s="441"/>
    </row>
    <row r="82" spans="1:12" s="16" customFormat="1" ht="27" customHeight="1" thickBot="1" x14ac:dyDescent="0.45">
      <c r="A82" s="449" t="s">
        <v>62</v>
      </c>
      <c r="B82" s="351">
        <v>0</v>
      </c>
      <c r="C82" s="566" t="s">
        <v>109</v>
      </c>
      <c r="D82" s="567"/>
      <c r="E82" s="567"/>
      <c r="F82" s="567"/>
      <c r="G82" s="568"/>
      <c r="I82" s="352"/>
      <c r="J82" s="352"/>
      <c r="K82" s="352"/>
      <c r="L82" s="352"/>
    </row>
    <row r="83" spans="1:12" s="16" customFormat="1" ht="19.5" customHeight="1" thickBot="1" x14ac:dyDescent="0.35">
      <c r="A83" s="449" t="s">
        <v>64</v>
      </c>
      <c r="B83" s="524">
        <f>B81-B82</f>
        <v>0</v>
      </c>
      <c r="C83" s="354"/>
      <c r="D83" s="354"/>
      <c r="E83" s="354"/>
      <c r="F83" s="354"/>
      <c r="G83" s="355"/>
      <c r="I83" s="352"/>
      <c r="J83" s="352"/>
      <c r="K83" s="352"/>
      <c r="L83" s="352"/>
    </row>
    <row r="84" spans="1:12" s="16" customFormat="1" ht="27" customHeight="1" thickBot="1" x14ac:dyDescent="0.45">
      <c r="A84" s="449" t="s">
        <v>65</v>
      </c>
      <c r="B84" s="356">
        <v>1</v>
      </c>
      <c r="C84" s="555" t="s">
        <v>143</v>
      </c>
      <c r="D84" s="556"/>
      <c r="E84" s="556"/>
      <c r="F84" s="556"/>
      <c r="G84" s="556"/>
      <c r="H84" s="569"/>
      <c r="I84" s="352"/>
      <c r="J84" s="352"/>
      <c r="K84" s="352"/>
      <c r="L84" s="352"/>
    </row>
    <row r="85" spans="1:12" s="16" customFormat="1" ht="27" customHeight="1" thickBot="1" x14ac:dyDescent="0.45">
      <c r="A85" s="449" t="s">
        <v>67</v>
      </c>
      <c r="B85" s="356">
        <v>1</v>
      </c>
      <c r="C85" s="555" t="s">
        <v>144</v>
      </c>
      <c r="D85" s="556"/>
      <c r="E85" s="556"/>
      <c r="F85" s="556"/>
      <c r="G85" s="556"/>
      <c r="H85" s="569"/>
      <c r="I85" s="352"/>
      <c r="J85" s="352"/>
      <c r="K85" s="352"/>
      <c r="L85" s="352"/>
    </row>
    <row r="86" spans="1:12" s="16" customFormat="1" ht="18.75" x14ac:dyDescent="0.3">
      <c r="A86" s="449"/>
      <c r="B86" s="359"/>
      <c r="C86" s="360"/>
      <c r="D86" s="360"/>
      <c r="E86" s="360"/>
      <c r="F86" s="360"/>
      <c r="G86" s="360"/>
      <c r="H86" s="360"/>
      <c r="I86" s="352"/>
      <c r="J86" s="352"/>
      <c r="K86" s="352"/>
      <c r="L86" s="352"/>
    </row>
    <row r="87" spans="1:12" s="16" customFormat="1" ht="18.75" x14ac:dyDescent="0.3">
      <c r="A87" s="449" t="s">
        <v>69</v>
      </c>
      <c r="B87" s="361">
        <f>B84/B85</f>
        <v>1</v>
      </c>
      <c r="C87" s="438" t="s">
        <v>70</v>
      </c>
      <c r="D87" s="438"/>
      <c r="E87" s="438"/>
      <c r="F87" s="438"/>
      <c r="G87" s="438"/>
      <c r="I87" s="352"/>
      <c r="J87" s="352"/>
      <c r="K87" s="352"/>
      <c r="L87" s="352"/>
    </row>
    <row r="88" spans="1:12" ht="19.5" customHeight="1" thickBot="1" x14ac:dyDescent="0.35">
      <c r="A88" s="347"/>
      <c r="B88" s="347"/>
    </row>
    <row r="89" spans="1:12" ht="27" customHeight="1" thickBot="1" x14ac:dyDescent="0.45">
      <c r="A89" s="362" t="s">
        <v>127</v>
      </c>
      <c r="B89" s="363"/>
      <c r="D89" s="522" t="s">
        <v>72</v>
      </c>
      <c r="E89" s="523"/>
      <c r="F89" s="547" t="s">
        <v>73</v>
      </c>
      <c r="G89" s="548"/>
    </row>
    <row r="90" spans="1:12" ht="27" customHeight="1" thickBot="1" x14ac:dyDescent="0.45">
      <c r="A90" s="364" t="s">
        <v>74</v>
      </c>
      <c r="B90" s="365">
        <v>1</v>
      </c>
      <c r="C90" s="525" t="s">
        <v>75</v>
      </c>
      <c r="D90" s="367" t="s">
        <v>76</v>
      </c>
      <c r="E90" s="368" t="s">
        <v>77</v>
      </c>
      <c r="F90" s="367" t="s">
        <v>76</v>
      </c>
      <c r="G90" s="445" t="s">
        <v>77</v>
      </c>
      <c r="I90" s="370" t="s">
        <v>128</v>
      </c>
    </row>
    <row r="91" spans="1:12" ht="26.25" customHeight="1" x14ac:dyDescent="0.4">
      <c r="A91" s="364" t="s">
        <v>78</v>
      </c>
      <c r="B91" s="365">
        <v>1</v>
      </c>
      <c r="C91" s="446">
        <v>1</v>
      </c>
      <c r="D91" s="372"/>
      <c r="E91" s="373" t="str">
        <f>IF(ISBLANK(D91),"-",$D$101/$D$98*D91)</f>
        <v>-</v>
      </c>
      <c r="F91" s="372"/>
      <c r="G91" s="374" t="str">
        <f>IF(ISBLANK(F91),"-",$D$101/$F$98*F91)</f>
        <v>-</v>
      </c>
      <c r="I91" s="375"/>
    </row>
    <row r="92" spans="1:12" ht="26.25" customHeight="1" x14ac:dyDescent="0.4">
      <c r="A92" s="364" t="s">
        <v>79</v>
      </c>
      <c r="B92" s="365">
        <v>1</v>
      </c>
      <c r="C92" s="457">
        <v>2</v>
      </c>
      <c r="D92" s="377"/>
      <c r="E92" s="378" t="str">
        <f>IF(ISBLANK(D92),"-",$D$101/$D$98*D92)</f>
        <v>-</v>
      </c>
      <c r="F92" s="377"/>
      <c r="G92" s="379" t="str">
        <f>IF(ISBLANK(F92),"-",$D$101/$F$98*F92)</f>
        <v>-</v>
      </c>
      <c r="I92" s="577" t="e">
        <f>ABS((F96/D96*D95)-F95)/D95</f>
        <v>#DIV/0!</v>
      </c>
    </row>
    <row r="93" spans="1:12" ht="26.25" customHeight="1" x14ac:dyDescent="0.4">
      <c r="A93" s="364" t="s">
        <v>80</v>
      </c>
      <c r="B93" s="365">
        <v>1</v>
      </c>
      <c r="C93" s="457">
        <v>3</v>
      </c>
      <c r="D93" s="377"/>
      <c r="E93" s="378" t="str">
        <f>IF(ISBLANK(D93),"-",$D$101/$D$98*D93)</f>
        <v>-</v>
      </c>
      <c r="F93" s="377"/>
      <c r="G93" s="379" t="str">
        <f>IF(ISBLANK(F93),"-",$D$101/$F$98*F93)</f>
        <v>-</v>
      </c>
      <c r="I93" s="577"/>
    </row>
    <row r="94" spans="1:12" ht="27" customHeight="1" thickBot="1" x14ac:dyDescent="0.45">
      <c r="A94" s="364" t="s">
        <v>81</v>
      </c>
      <c r="B94" s="365">
        <v>1</v>
      </c>
      <c r="C94" s="447">
        <v>4</v>
      </c>
      <c r="D94" s="382"/>
      <c r="E94" s="383" t="str">
        <f>IF(ISBLANK(D94),"-",$D$101/$D$98*D94)</f>
        <v>-</v>
      </c>
      <c r="F94" s="448"/>
      <c r="G94" s="384" t="str">
        <f>IF(ISBLANK(F94),"-",$D$101/$F$98*F94)</f>
        <v>-</v>
      </c>
      <c r="I94" s="385"/>
    </row>
    <row r="95" spans="1:12" ht="27" customHeight="1" thickBot="1" x14ac:dyDescent="0.45">
      <c r="A95" s="364" t="s">
        <v>82</v>
      </c>
      <c r="B95" s="365">
        <v>1</v>
      </c>
      <c r="C95" s="449" t="s">
        <v>83</v>
      </c>
      <c r="D95" s="450" t="e">
        <f>AVERAGE(D91:D94)</f>
        <v>#DIV/0!</v>
      </c>
      <c r="E95" s="388" t="e">
        <f>AVERAGE(E91:E94)</f>
        <v>#DIV/0!</v>
      </c>
      <c r="F95" s="451" t="e">
        <f>AVERAGE(F91:F94)</f>
        <v>#DIV/0!</v>
      </c>
      <c r="G95" s="452" t="e">
        <f>AVERAGE(G91:G94)</f>
        <v>#DIV/0!</v>
      </c>
    </row>
    <row r="96" spans="1:12" ht="26.25" customHeight="1" x14ac:dyDescent="0.4">
      <c r="A96" s="364" t="s">
        <v>84</v>
      </c>
      <c r="B96" s="441">
        <v>1</v>
      </c>
      <c r="C96" s="453" t="s">
        <v>85</v>
      </c>
      <c r="D96" s="454"/>
      <c r="E96" s="438"/>
      <c r="F96" s="392"/>
    </row>
    <row r="97" spans="1:10" ht="26.25" customHeight="1" x14ac:dyDescent="0.4">
      <c r="A97" s="364" t="s">
        <v>86</v>
      </c>
      <c r="B97" s="441">
        <v>1</v>
      </c>
      <c r="C97" s="455" t="s">
        <v>87</v>
      </c>
      <c r="D97" s="456">
        <f>D96*$B$87</f>
        <v>0</v>
      </c>
      <c r="E97" s="457"/>
      <c r="F97" s="394">
        <f>F96*$B$87</f>
        <v>0</v>
      </c>
    </row>
    <row r="98" spans="1:10" ht="19.5" customHeight="1" thickBot="1" x14ac:dyDescent="0.35">
      <c r="A98" s="364" t="s">
        <v>88</v>
      </c>
      <c r="B98" s="457">
        <f>(B97/B96)*(B95/B94)*(B93/B92)*(B91/B90)*B89</f>
        <v>0</v>
      </c>
      <c r="C98" s="455" t="s">
        <v>145</v>
      </c>
      <c r="D98" s="458">
        <f>D97*$B$83/100</f>
        <v>0</v>
      </c>
      <c r="E98" s="434"/>
      <c r="F98" s="397">
        <f>F97*$B$83/100</f>
        <v>0</v>
      </c>
    </row>
    <row r="99" spans="1:10" ht="19.5" customHeight="1" thickBot="1" x14ac:dyDescent="0.35">
      <c r="A99" s="557" t="s">
        <v>90</v>
      </c>
      <c r="B99" s="562"/>
      <c r="C99" s="455" t="s">
        <v>146</v>
      </c>
      <c r="D99" s="459" t="e">
        <f>D98/$B$98</f>
        <v>#DIV/0!</v>
      </c>
      <c r="E99" s="434"/>
      <c r="F99" s="401" t="e">
        <f>F98/$B$98</f>
        <v>#DIV/0!</v>
      </c>
      <c r="H99" s="390"/>
    </row>
    <row r="100" spans="1:10" ht="19.5" customHeight="1" thickBot="1" x14ac:dyDescent="0.35">
      <c r="A100" s="559"/>
      <c r="B100" s="563"/>
      <c r="C100" s="455" t="s">
        <v>131</v>
      </c>
      <c r="D100" s="461" t="e">
        <f>$B$56/$B$116</f>
        <v>#DIV/0!</v>
      </c>
      <c r="F100" s="406"/>
      <c r="G100" s="468"/>
      <c r="H100" s="390"/>
    </row>
    <row r="101" spans="1:10" ht="18.75" x14ac:dyDescent="0.3">
      <c r="C101" s="455" t="s">
        <v>93</v>
      </c>
      <c r="D101" s="456" t="e">
        <f>D100*$B$98</f>
        <v>#DIV/0!</v>
      </c>
      <c r="F101" s="406"/>
      <c r="H101" s="390"/>
    </row>
    <row r="102" spans="1:10" ht="19.5" customHeight="1" thickBot="1" x14ac:dyDescent="0.35">
      <c r="C102" s="463" t="s">
        <v>94</v>
      </c>
      <c r="D102" s="464" t="e">
        <f>D101/B34</f>
        <v>#DIV/0!</v>
      </c>
      <c r="F102" s="410"/>
      <c r="H102" s="390"/>
      <c r="J102" s="465"/>
    </row>
    <row r="103" spans="1:10" ht="18.75" x14ac:dyDescent="0.3">
      <c r="C103" s="466" t="s">
        <v>147</v>
      </c>
      <c r="D103" s="467" t="e">
        <f>AVERAGE(E91:E94,G91:G94)</f>
        <v>#DIV/0!</v>
      </c>
      <c r="F103" s="410"/>
      <c r="G103" s="468"/>
      <c r="H103" s="390"/>
      <c r="J103" s="469"/>
    </row>
    <row r="104" spans="1:10" ht="18.75" x14ac:dyDescent="0.3">
      <c r="C104" s="433" t="s">
        <v>60</v>
      </c>
      <c r="D104" s="470" t="e">
        <f>STDEV(E91:E94,G91:G94)/D103</f>
        <v>#DIV/0!</v>
      </c>
      <c r="F104" s="410"/>
      <c r="H104" s="390"/>
      <c r="J104" s="469"/>
    </row>
    <row r="105" spans="1:10" ht="19.5" customHeight="1" thickBot="1" x14ac:dyDescent="0.35">
      <c r="C105" s="435" t="s">
        <v>20</v>
      </c>
      <c r="D105" s="471">
        <f>COUNT(E91:E94,G91:G94)</f>
        <v>0</v>
      </c>
      <c r="F105" s="410"/>
      <c r="H105" s="390"/>
      <c r="J105" s="469"/>
    </row>
    <row r="106" spans="1:10" ht="19.5" customHeight="1" thickBot="1" x14ac:dyDescent="0.35">
      <c r="A106" s="414"/>
      <c r="B106" s="414"/>
      <c r="C106" s="414"/>
      <c r="D106" s="414"/>
      <c r="E106" s="414"/>
    </row>
    <row r="107" spans="1:10" ht="27" customHeight="1" thickBot="1" x14ac:dyDescent="0.45">
      <c r="A107" s="362" t="s">
        <v>112</v>
      </c>
      <c r="B107" s="363"/>
      <c r="C107" s="510" t="s">
        <v>148</v>
      </c>
      <c r="D107" s="510" t="s">
        <v>76</v>
      </c>
      <c r="E107" s="510" t="s">
        <v>114</v>
      </c>
      <c r="F107" s="472" t="s">
        <v>115</v>
      </c>
    </row>
    <row r="108" spans="1:10" ht="26.25" customHeight="1" x14ac:dyDescent="0.4">
      <c r="A108" s="364" t="s">
        <v>116</v>
      </c>
      <c r="B108" s="365"/>
      <c r="C108" s="515">
        <v>1</v>
      </c>
      <c r="D108" s="516"/>
      <c r="E108" s="490" t="str">
        <f t="shared" ref="E108:E113" si="1">IF(ISBLANK(D108),"-",D108/$D$103*$D$100*$B$116)</f>
        <v>-</v>
      </c>
      <c r="F108" s="517" t="str">
        <f t="shared" ref="F108:F113" si="2">IF(ISBLANK(D108), "-", (E108/$B$56)*100)</f>
        <v>-</v>
      </c>
    </row>
    <row r="109" spans="1:10" ht="26.25" customHeight="1" x14ac:dyDescent="0.4">
      <c r="A109" s="364" t="s">
        <v>117</v>
      </c>
      <c r="B109" s="365"/>
      <c r="C109" s="511">
        <v>2</v>
      </c>
      <c r="D109" s="513"/>
      <c r="E109" s="491" t="str">
        <f t="shared" si="1"/>
        <v>-</v>
      </c>
      <c r="F109" s="520" t="str">
        <f t="shared" si="2"/>
        <v>-</v>
      </c>
    </row>
    <row r="110" spans="1:10" ht="26.25" customHeight="1" x14ac:dyDescent="0.4">
      <c r="A110" s="364" t="s">
        <v>118</v>
      </c>
      <c r="B110" s="365">
        <v>1</v>
      </c>
      <c r="C110" s="511">
        <v>3</v>
      </c>
      <c r="D110" s="513"/>
      <c r="E110" s="491" t="str">
        <f t="shared" si="1"/>
        <v>-</v>
      </c>
      <c r="F110" s="520" t="str">
        <f t="shared" si="2"/>
        <v>-</v>
      </c>
    </row>
    <row r="111" spans="1:10" ht="26.25" customHeight="1" x14ac:dyDescent="0.4">
      <c r="A111" s="364" t="s">
        <v>119</v>
      </c>
      <c r="B111" s="365">
        <v>1</v>
      </c>
      <c r="C111" s="511">
        <v>4</v>
      </c>
      <c r="D111" s="513"/>
      <c r="E111" s="491" t="str">
        <f t="shared" si="1"/>
        <v>-</v>
      </c>
      <c r="F111" s="520" t="str">
        <f t="shared" si="2"/>
        <v>-</v>
      </c>
    </row>
    <row r="112" spans="1:10" ht="26.25" customHeight="1" x14ac:dyDescent="0.4">
      <c r="A112" s="364" t="s">
        <v>120</v>
      </c>
      <c r="B112" s="365">
        <v>1</v>
      </c>
      <c r="C112" s="511">
        <v>5</v>
      </c>
      <c r="D112" s="513"/>
      <c r="E112" s="491" t="str">
        <f t="shared" si="1"/>
        <v>-</v>
      </c>
      <c r="F112" s="520" t="str">
        <f t="shared" si="2"/>
        <v>-</v>
      </c>
    </row>
    <row r="113" spans="1:10" ht="27" customHeight="1" thickBot="1" x14ac:dyDescent="0.45">
      <c r="A113" s="364" t="s">
        <v>121</v>
      </c>
      <c r="B113" s="365">
        <v>1</v>
      </c>
      <c r="C113" s="512">
        <v>6</v>
      </c>
      <c r="D113" s="514"/>
      <c r="E113" s="492" t="str">
        <f t="shared" si="1"/>
        <v>-</v>
      </c>
      <c r="F113" s="519" t="str">
        <f t="shared" si="2"/>
        <v>-</v>
      </c>
    </row>
    <row r="114" spans="1:10" ht="27" customHeight="1" thickBot="1" x14ac:dyDescent="0.45">
      <c r="A114" s="364" t="s">
        <v>122</v>
      </c>
      <c r="B114" s="365">
        <v>1</v>
      </c>
      <c r="C114" s="473"/>
      <c r="D114" s="457"/>
      <c r="E114" s="438"/>
      <c r="F114" s="520"/>
    </row>
    <row r="115" spans="1:10" ht="26.25" customHeight="1" x14ac:dyDescent="0.4">
      <c r="A115" s="364" t="s">
        <v>123</v>
      </c>
      <c r="B115" s="365">
        <v>1</v>
      </c>
      <c r="C115" s="473"/>
      <c r="D115" s="497" t="s">
        <v>83</v>
      </c>
      <c r="E115" s="499" t="e">
        <f>AVERAGE(E108:E113)</f>
        <v>#DIV/0!</v>
      </c>
      <c r="F115" s="527" t="e">
        <f>AVERAGE(F108:F113)</f>
        <v>#DIV/0!</v>
      </c>
    </row>
    <row r="116" spans="1:10" ht="27" customHeight="1" thickBot="1" x14ac:dyDescent="0.45">
      <c r="A116" s="364" t="s">
        <v>124</v>
      </c>
      <c r="B116" s="396" t="e">
        <f>(B115/B114)*(B113/B112)*(B111/B110)*(B109/B108)*B107</f>
        <v>#DIV/0!</v>
      </c>
      <c r="C116" s="474"/>
      <c r="D116" s="498" t="s">
        <v>60</v>
      </c>
      <c r="E116" s="496" t="e">
        <f>STDEV(E108:E113)/E115</f>
        <v>#DIV/0!</v>
      </c>
      <c r="F116" s="475" t="e">
        <f>STDEV(F108:F113)/F115</f>
        <v>#DIV/0!</v>
      </c>
      <c r="I116" s="438"/>
    </row>
    <row r="117" spans="1:10" ht="27" customHeight="1" thickBot="1" x14ac:dyDescent="0.45">
      <c r="A117" s="557" t="s">
        <v>90</v>
      </c>
      <c r="B117" s="558"/>
      <c r="C117" s="476"/>
      <c r="D117" s="435" t="s">
        <v>20</v>
      </c>
      <c r="E117" s="501">
        <f>COUNT(E108:E113)</f>
        <v>0</v>
      </c>
      <c r="F117" s="502">
        <f>COUNT(F108:F113)</f>
        <v>0</v>
      </c>
      <c r="I117" s="438"/>
      <c r="J117" s="469"/>
    </row>
    <row r="118" spans="1:10" ht="26.25" customHeight="1" thickBot="1" x14ac:dyDescent="0.35">
      <c r="A118" s="559"/>
      <c r="B118" s="560"/>
      <c r="C118" s="438"/>
      <c r="D118" s="500"/>
      <c r="E118" s="571" t="s">
        <v>149</v>
      </c>
      <c r="F118" s="572"/>
      <c r="G118" s="438"/>
      <c r="H118" s="438"/>
      <c r="I118" s="438"/>
    </row>
    <row r="119" spans="1:10" ht="25.5" customHeight="1" x14ac:dyDescent="0.4">
      <c r="A119" s="485"/>
      <c r="B119" s="360"/>
      <c r="C119" s="438"/>
      <c r="D119" s="498" t="s">
        <v>150</v>
      </c>
      <c r="E119" s="503">
        <f>MIN(E108:E113)</f>
        <v>0</v>
      </c>
      <c r="F119" s="528">
        <f>MIN(F108:F113)</f>
        <v>0</v>
      </c>
      <c r="G119" s="438"/>
      <c r="H119" s="438"/>
      <c r="I119" s="438"/>
    </row>
    <row r="120" spans="1:10" ht="24" customHeight="1" thickBot="1" x14ac:dyDescent="0.45">
      <c r="A120" s="485"/>
      <c r="B120" s="360"/>
      <c r="C120" s="438"/>
      <c r="D120" s="407" t="s">
        <v>151</v>
      </c>
      <c r="E120" s="504">
        <f>MAX(E108:E113)</f>
        <v>0</v>
      </c>
      <c r="F120" s="529">
        <f>MAX(F108:F113)</f>
        <v>0</v>
      </c>
      <c r="G120" s="438"/>
      <c r="H120" s="438"/>
      <c r="I120" s="438"/>
    </row>
    <row r="121" spans="1:10" ht="27" customHeight="1" x14ac:dyDescent="0.3">
      <c r="A121" s="485"/>
      <c r="B121" s="360"/>
      <c r="C121" s="438"/>
      <c r="D121" s="438"/>
      <c r="E121" s="438"/>
      <c r="F121" s="457"/>
      <c r="G121" s="438"/>
      <c r="H121" s="438"/>
      <c r="I121" s="438"/>
    </row>
    <row r="122" spans="1:10" ht="25.5" customHeight="1" x14ac:dyDescent="0.3">
      <c r="A122" s="485"/>
      <c r="B122" s="360"/>
      <c r="C122" s="438"/>
      <c r="D122" s="438"/>
      <c r="E122" s="438"/>
      <c r="F122" s="457"/>
      <c r="G122" s="438"/>
      <c r="H122" s="438"/>
      <c r="I122" s="438"/>
    </row>
    <row r="123" spans="1:10" ht="18.75" x14ac:dyDescent="0.3">
      <c r="A123" s="485"/>
      <c r="B123" s="360"/>
      <c r="C123" s="438"/>
      <c r="D123" s="438"/>
      <c r="E123" s="438"/>
      <c r="F123" s="457"/>
      <c r="G123" s="438"/>
      <c r="H123" s="438"/>
      <c r="I123" s="438"/>
    </row>
    <row r="124" spans="1:10" ht="45.75" customHeight="1" x14ac:dyDescent="0.65">
      <c r="A124" s="480" t="s">
        <v>142</v>
      </c>
      <c r="B124" s="449" t="s">
        <v>125</v>
      </c>
      <c r="C124" s="561" t="str">
        <f>B26</f>
        <v>Cafeine</v>
      </c>
      <c r="D124" s="561"/>
      <c r="E124" s="438" t="s">
        <v>126</v>
      </c>
      <c r="F124" s="438"/>
      <c r="G124" s="530" t="e">
        <f>F115</f>
        <v>#DIV/0!</v>
      </c>
      <c r="H124" s="438"/>
      <c r="I124" s="438"/>
    </row>
    <row r="125" spans="1:10" ht="45.75" customHeight="1" x14ac:dyDescent="0.65">
      <c r="A125" s="480"/>
      <c r="B125" s="449" t="s">
        <v>152</v>
      </c>
      <c r="C125" s="449" t="s">
        <v>153</v>
      </c>
      <c r="D125" s="530">
        <f>MIN(F108:F113)</f>
        <v>0</v>
      </c>
      <c r="E125" s="449" t="s">
        <v>154</v>
      </c>
      <c r="F125" s="530">
        <f>MAX(F108:F113)</f>
        <v>0</v>
      </c>
      <c r="G125" s="439"/>
      <c r="H125" s="438"/>
      <c r="I125" s="438"/>
    </row>
    <row r="126" spans="1:10" ht="19.5" customHeight="1" thickBot="1" x14ac:dyDescent="0.35">
      <c r="A126" s="526"/>
      <c r="B126" s="526"/>
      <c r="C126" s="478"/>
      <c r="D126" s="478"/>
      <c r="E126" s="478"/>
      <c r="F126" s="478"/>
      <c r="G126" s="478"/>
      <c r="H126" s="478"/>
    </row>
    <row r="127" spans="1:10" ht="18.75" x14ac:dyDescent="0.3">
      <c r="B127" s="546" t="s">
        <v>26</v>
      </c>
      <c r="C127" s="546"/>
      <c r="E127" s="525" t="s">
        <v>27</v>
      </c>
      <c r="F127" s="479"/>
      <c r="G127" s="546" t="s">
        <v>28</v>
      </c>
      <c r="H127" s="546"/>
    </row>
    <row r="128" spans="1:10" ht="69.95" customHeight="1" x14ac:dyDescent="0.3">
      <c r="A128" s="480" t="s">
        <v>29</v>
      </c>
      <c r="B128" s="482"/>
      <c r="C128" s="482"/>
      <c r="E128" s="482"/>
      <c r="F128" s="438"/>
      <c r="G128" s="482"/>
      <c r="H128" s="482"/>
    </row>
    <row r="129" spans="1:9" ht="69.95" customHeight="1" x14ac:dyDescent="0.3">
      <c r="A129" s="480" t="s">
        <v>30</v>
      </c>
      <c r="B129" s="483"/>
      <c r="C129" s="483"/>
      <c r="E129" s="483"/>
      <c r="F129" s="438"/>
      <c r="G129" s="484"/>
      <c r="H129" s="484"/>
    </row>
    <row r="130" spans="1:9" ht="18.75" x14ac:dyDescent="0.3">
      <c r="A130" s="457"/>
      <c r="B130" s="457"/>
      <c r="C130" s="457"/>
      <c r="D130" s="457"/>
      <c r="E130" s="457"/>
      <c r="F130" s="434"/>
      <c r="G130" s="457"/>
      <c r="H130" s="457"/>
      <c r="I130" s="438"/>
    </row>
    <row r="131" spans="1:9" ht="18.75" x14ac:dyDescent="0.3">
      <c r="A131" s="457"/>
      <c r="B131" s="457"/>
      <c r="C131" s="457"/>
      <c r="D131" s="457"/>
      <c r="E131" s="457"/>
      <c r="F131" s="434"/>
      <c r="G131" s="457"/>
      <c r="H131" s="457"/>
      <c r="I131" s="438"/>
    </row>
    <row r="132" spans="1:9" ht="18.75" x14ac:dyDescent="0.3">
      <c r="A132" s="457"/>
      <c r="B132" s="457"/>
      <c r="C132" s="457"/>
      <c r="D132" s="457"/>
      <c r="E132" s="457"/>
      <c r="F132" s="434"/>
      <c r="G132" s="457"/>
      <c r="H132" s="457"/>
      <c r="I132" s="438"/>
    </row>
    <row r="133" spans="1:9" ht="18.75" x14ac:dyDescent="0.3">
      <c r="A133" s="457"/>
      <c r="B133" s="457"/>
      <c r="C133" s="457"/>
      <c r="D133" s="457"/>
      <c r="E133" s="457"/>
      <c r="F133" s="434"/>
      <c r="G133" s="457"/>
      <c r="H133" s="457"/>
      <c r="I133" s="438"/>
    </row>
    <row r="134" spans="1:9" ht="18.75" x14ac:dyDescent="0.3">
      <c r="A134" s="457"/>
      <c r="B134" s="457"/>
      <c r="C134" s="457"/>
      <c r="D134" s="457"/>
      <c r="E134" s="457"/>
      <c r="F134" s="434"/>
      <c r="G134" s="457"/>
      <c r="H134" s="457"/>
      <c r="I134" s="438"/>
    </row>
    <row r="135" spans="1:9" ht="18.75" x14ac:dyDescent="0.3">
      <c r="A135" s="457"/>
      <c r="B135" s="457"/>
      <c r="C135" s="457"/>
      <c r="D135" s="457"/>
      <c r="E135" s="457"/>
      <c r="F135" s="434"/>
      <c r="G135" s="457"/>
      <c r="H135" s="457"/>
      <c r="I135" s="438"/>
    </row>
    <row r="136" spans="1:9" ht="18.75" x14ac:dyDescent="0.3">
      <c r="A136" s="457"/>
      <c r="B136" s="457"/>
      <c r="C136" s="457"/>
      <c r="D136" s="457"/>
      <c r="E136" s="457"/>
      <c r="F136" s="434"/>
      <c r="G136" s="457"/>
      <c r="H136" s="457"/>
      <c r="I136" s="438"/>
    </row>
    <row r="137" spans="1:9" ht="18.75" x14ac:dyDescent="0.3">
      <c r="A137" s="457"/>
      <c r="B137" s="457"/>
      <c r="C137" s="457"/>
      <c r="D137" s="457"/>
      <c r="E137" s="457"/>
      <c r="F137" s="434"/>
      <c r="G137" s="457"/>
      <c r="H137" s="457"/>
      <c r="I137" s="438"/>
    </row>
    <row r="138" spans="1:9" ht="18.75" x14ac:dyDescent="0.3">
      <c r="A138" s="457"/>
      <c r="B138" s="457"/>
      <c r="C138" s="457"/>
      <c r="D138" s="457"/>
      <c r="E138" s="457"/>
      <c r="F138" s="434"/>
      <c r="G138" s="457"/>
      <c r="H138" s="457"/>
      <c r="I138" s="438"/>
    </row>
    <row r="250" spans="1:1" x14ac:dyDescent="0.25">
      <c r="A250" s="460">
        <v>0</v>
      </c>
    </row>
  </sheetData>
  <sheetProtection password="F258" sheet="1" objects="1" scenarios="1" formatCells="0" formatColumns="0"/>
  <mergeCells count="37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B127:C127"/>
    <mergeCell ref="G127:H127"/>
    <mergeCell ref="B79:C79"/>
    <mergeCell ref="B80:C80"/>
    <mergeCell ref="C82:G82"/>
    <mergeCell ref="C84:H84"/>
    <mergeCell ref="C85:H85"/>
    <mergeCell ref="F89:G89"/>
    <mergeCell ref="I92:I93"/>
    <mergeCell ref="A99:B100"/>
    <mergeCell ref="A117:B118"/>
    <mergeCell ref="E118:F118"/>
    <mergeCell ref="C124:D124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tabSelected="1" view="pageBreakPreview" topLeftCell="A20" zoomScale="60" zoomScaleNormal="70" workbookViewId="0">
      <selection activeCell="C64" sqref="C64"/>
    </sheetView>
  </sheetViews>
  <sheetFormatPr defaultRowHeight="12.75" x14ac:dyDescent="0.2"/>
  <cols>
    <col min="1" max="1" width="38.42578125" customWidth="1"/>
    <col min="2" max="2" width="35.7109375" customWidth="1"/>
    <col min="3" max="3" width="23.28515625" customWidth="1"/>
    <col min="4" max="4" width="25.42578125" customWidth="1"/>
    <col min="5" max="5" width="22.7109375" customWidth="1"/>
    <col min="6" max="6" width="29.42578125" customWidth="1"/>
    <col min="7" max="7" width="33.42578125" customWidth="1"/>
  </cols>
  <sheetData>
    <row r="1" spans="1:7" ht="14.25" customHeight="1" x14ac:dyDescent="0.2">
      <c r="A1" s="544" t="s">
        <v>45</v>
      </c>
      <c r="B1" s="544"/>
      <c r="C1" s="544"/>
      <c r="D1" s="544"/>
      <c r="E1" s="544"/>
      <c r="F1" s="544"/>
      <c r="G1" s="544"/>
    </row>
    <row r="2" spans="1:7" ht="14.25" customHeight="1" x14ac:dyDescent="0.2">
      <c r="A2" s="544"/>
      <c r="B2" s="544"/>
      <c r="C2" s="544"/>
      <c r="D2" s="544"/>
      <c r="E2" s="544"/>
      <c r="F2" s="544"/>
      <c r="G2" s="544"/>
    </row>
    <row r="3" spans="1:7" ht="14.25" customHeight="1" x14ac:dyDescent="0.2">
      <c r="A3" s="544"/>
      <c r="B3" s="544"/>
      <c r="C3" s="544"/>
      <c r="D3" s="544"/>
      <c r="E3" s="544"/>
      <c r="F3" s="544"/>
      <c r="G3" s="544"/>
    </row>
    <row r="4" spans="1:7" ht="14.25" customHeight="1" x14ac:dyDescent="0.2">
      <c r="A4" s="544"/>
      <c r="B4" s="544"/>
      <c r="C4" s="544"/>
      <c r="D4" s="544"/>
      <c r="E4" s="544"/>
      <c r="F4" s="544"/>
      <c r="G4" s="544"/>
    </row>
    <row r="5" spans="1:7" ht="14.25" customHeight="1" x14ac:dyDescent="0.2">
      <c r="A5" s="544"/>
      <c r="B5" s="544"/>
      <c r="C5" s="544"/>
      <c r="D5" s="544"/>
      <c r="E5" s="544"/>
      <c r="F5" s="544"/>
      <c r="G5" s="544"/>
    </row>
    <row r="6" spans="1:7" ht="14.25" customHeight="1" x14ac:dyDescent="0.2">
      <c r="A6" s="544"/>
      <c r="B6" s="544"/>
      <c r="C6" s="544"/>
      <c r="D6" s="544"/>
      <c r="E6" s="544"/>
      <c r="F6" s="544"/>
      <c r="G6" s="544"/>
    </row>
    <row r="7" spans="1:7" ht="14.25" customHeight="1" x14ac:dyDescent="0.2">
      <c r="A7" s="544"/>
      <c r="B7" s="544"/>
      <c r="C7" s="544"/>
      <c r="D7" s="544"/>
      <c r="E7" s="544"/>
      <c r="F7" s="544"/>
      <c r="G7" s="544"/>
    </row>
    <row r="8" spans="1:7" ht="14.25" customHeight="1" x14ac:dyDescent="0.2">
      <c r="A8" s="545" t="s">
        <v>46</v>
      </c>
      <c r="B8" s="545"/>
      <c r="C8" s="545"/>
      <c r="D8" s="545"/>
      <c r="E8" s="545"/>
      <c r="F8" s="545"/>
      <c r="G8" s="545"/>
    </row>
    <row r="9" spans="1:7" ht="14.25" customHeight="1" x14ac:dyDescent="0.2">
      <c r="A9" s="545"/>
      <c r="B9" s="545"/>
      <c r="C9" s="545"/>
      <c r="D9" s="545"/>
      <c r="E9" s="545"/>
      <c r="F9" s="545"/>
      <c r="G9" s="545"/>
    </row>
    <row r="10" spans="1:7" ht="14.25" customHeight="1" x14ac:dyDescent="0.2">
      <c r="A10" s="545"/>
      <c r="B10" s="545"/>
      <c r="C10" s="545"/>
      <c r="D10" s="545"/>
      <c r="E10" s="545"/>
      <c r="F10" s="545"/>
      <c r="G10" s="545"/>
    </row>
    <row r="11" spans="1:7" ht="14.25" customHeight="1" x14ac:dyDescent="0.2">
      <c r="A11" s="545"/>
      <c r="B11" s="545"/>
      <c r="C11" s="545"/>
      <c r="D11" s="545"/>
      <c r="E11" s="545"/>
      <c r="F11" s="545"/>
      <c r="G11" s="545"/>
    </row>
    <row r="12" spans="1:7" ht="14.25" customHeight="1" x14ac:dyDescent="0.2">
      <c r="A12" s="545"/>
      <c r="B12" s="545"/>
      <c r="C12" s="545"/>
      <c r="D12" s="545"/>
      <c r="E12" s="545"/>
      <c r="F12" s="545"/>
      <c r="G12" s="545"/>
    </row>
    <row r="13" spans="1:7" ht="14.25" customHeight="1" x14ac:dyDescent="0.2">
      <c r="A13" s="545"/>
      <c r="B13" s="545"/>
      <c r="C13" s="545"/>
      <c r="D13" s="545"/>
      <c r="E13" s="545"/>
      <c r="F13" s="545"/>
      <c r="G13" s="545"/>
    </row>
    <row r="14" spans="1:7" ht="14.25" customHeight="1" x14ac:dyDescent="0.2">
      <c r="A14" s="545"/>
      <c r="B14" s="545"/>
      <c r="C14" s="545"/>
      <c r="D14" s="545"/>
      <c r="E14" s="545"/>
      <c r="F14" s="545"/>
      <c r="G14" s="545"/>
    </row>
    <row r="15" spans="1:7" ht="19.5" customHeight="1" x14ac:dyDescent="0.3">
      <c r="A15" s="98"/>
      <c r="B15" s="98"/>
      <c r="C15" s="98"/>
      <c r="D15" s="98"/>
      <c r="E15" s="98"/>
      <c r="F15" s="98"/>
      <c r="G15" s="98"/>
    </row>
    <row r="16" spans="1:7" ht="19.5" customHeight="1" x14ac:dyDescent="0.3">
      <c r="A16" s="549" t="s">
        <v>31</v>
      </c>
      <c r="B16" s="550"/>
      <c r="C16" s="550"/>
      <c r="D16" s="550"/>
      <c r="E16" s="550"/>
      <c r="F16" s="550"/>
      <c r="G16" s="550"/>
    </row>
    <row r="17" spans="1:7" ht="18.75" customHeight="1" x14ac:dyDescent="0.3">
      <c r="A17" s="99" t="s">
        <v>47</v>
      </c>
      <c r="B17" s="99"/>
      <c r="C17" s="98"/>
      <c r="D17" s="98"/>
      <c r="E17" s="98"/>
      <c r="F17" s="98"/>
      <c r="G17" s="98"/>
    </row>
    <row r="18" spans="1:7" ht="26.25" customHeight="1" x14ac:dyDescent="0.4">
      <c r="A18" s="100" t="s">
        <v>33</v>
      </c>
      <c r="B18" s="551" t="s">
        <v>5</v>
      </c>
      <c r="C18" s="551"/>
      <c r="D18" s="101"/>
      <c r="E18" s="101"/>
      <c r="F18" s="98"/>
      <c r="G18" s="98"/>
    </row>
    <row r="19" spans="1:7" ht="26.25" customHeight="1" x14ac:dyDescent="0.4">
      <c r="A19" s="100" t="s">
        <v>34</v>
      </c>
      <c r="B19" s="102" t="s">
        <v>7</v>
      </c>
      <c r="C19" s="143">
        <v>18</v>
      </c>
      <c r="D19" s="98"/>
      <c r="E19" s="98"/>
      <c r="F19" s="98"/>
      <c r="G19" s="98"/>
    </row>
    <row r="20" spans="1:7" ht="26.25" customHeight="1" x14ac:dyDescent="0.4">
      <c r="A20" s="100" t="s">
        <v>35</v>
      </c>
      <c r="B20" s="552" t="s">
        <v>9</v>
      </c>
      <c r="C20" s="552"/>
      <c r="D20" s="98"/>
      <c r="E20" s="98"/>
      <c r="F20" s="98"/>
      <c r="G20" s="98"/>
    </row>
    <row r="21" spans="1:7" ht="26.25" customHeight="1" x14ac:dyDescent="0.4">
      <c r="A21" s="100" t="s">
        <v>36</v>
      </c>
      <c r="B21" s="103" t="s">
        <v>11</v>
      </c>
      <c r="C21" s="103"/>
      <c r="D21" s="104"/>
      <c r="E21" s="104"/>
      <c r="F21" s="104"/>
      <c r="G21" s="104"/>
    </row>
    <row r="22" spans="1:7" ht="26.25" customHeight="1" x14ac:dyDescent="0.4">
      <c r="A22" s="100" t="s">
        <v>37</v>
      </c>
      <c r="B22" s="105" t="s">
        <v>12</v>
      </c>
      <c r="C22" s="106"/>
      <c r="D22" s="98"/>
      <c r="E22" s="98"/>
      <c r="F22" s="98"/>
      <c r="G22" s="98"/>
    </row>
    <row r="23" spans="1:7" ht="26.25" customHeight="1" x14ac:dyDescent="0.4">
      <c r="A23" s="100" t="s">
        <v>38</v>
      </c>
      <c r="B23" s="105"/>
      <c r="C23" s="106"/>
      <c r="D23" s="98"/>
      <c r="E23" s="98"/>
      <c r="F23" s="98"/>
      <c r="G23" s="98"/>
    </row>
    <row r="24" spans="1:7" ht="18.75" customHeight="1" x14ac:dyDescent="0.3">
      <c r="A24" s="100"/>
      <c r="B24" s="107"/>
      <c r="C24" s="98"/>
      <c r="D24" s="98"/>
      <c r="E24" s="98"/>
      <c r="F24" s="98"/>
      <c r="G24" s="98"/>
    </row>
    <row r="25" spans="1:7" ht="18.75" customHeight="1" x14ac:dyDescent="0.3">
      <c r="A25" s="99" t="s">
        <v>1</v>
      </c>
      <c r="B25" s="115" t="s">
        <v>48</v>
      </c>
      <c r="C25" s="98"/>
      <c r="D25" s="98"/>
      <c r="E25" s="98"/>
      <c r="F25" s="98"/>
      <c r="G25" s="98"/>
    </row>
    <row r="26" spans="1:7" ht="19.5" customHeight="1" x14ac:dyDescent="0.3">
      <c r="A26" s="98" t="s">
        <v>49</v>
      </c>
      <c r="B26" s="116"/>
      <c r="C26" s="98"/>
      <c r="D26" s="98"/>
      <c r="E26" s="98"/>
      <c r="F26" s="98"/>
      <c r="G26" s="98"/>
    </row>
    <row r="27" spans="1:7" ht="27" customHeight="1" x14ac:dyDescent="0.4">
      <c r="A27" s="117" t="s">
        <v>50</v>
      </c>
      <c r="B27" s="151">
        <v>96.8</v>
      </c>
      <c r="C27" s="98" t="str">
        <f>B20</f>
        <v>Paracetamol 500mg and caffeine 65 mg.</v>
      </c>
      <c r="D27" s="553" t="s">
        <v>51</v>
      </c>
      <c r="E27" s="554"/>
      <c r="F27" s="554"/>
      <c r="G27" s="554"/>
    </row>
    <row r="28" spans="1:7" ht="17.25" customHeight="1" x14ac:dyDescent="0.3">
      <c r="A28" s="118"/>
      <c r="B28" s="118"/>
      <c r="C28" s="118"/>
      <c r="D28" s="119"/>
      <c r="E28" s="119"/>
      <c r="F28" s="119"/>
      <c r="G28" s="119"/>
    </row>
    <row r="29" spans="1:7" ht="38.25" customHeight="1" x14ac:dyDescent="0.3">
      <c r="A29" s="113"/>
      <c r="B29" s="145"/>
      <c r="C29" s="147" t="s">
        <v>52</v>
      </c>
      <c r="D29" s="120" t="s">
        <v>53</v>
      </c>
      <c r="F29" s="132"/>
      <c r="G29" s="98"/>
    </row>
    <row r="30" spans="1:7" ht="26.25" customHeight="1" x14ac:dyDescent="0.4">
      <c r="A30" s="113"/>
      <c r="B30" s="121">
        <v>1</v>
      </c>
      <c r="C30" s="148">
        <v>690.11</v>
      </c>
      <c r="D30" s="146">
        <f t="shared" ref="D30:D39" si="0">IF(ISBLANK(C30),"-",C30/$C$41*$B$27)</f>
        <v>97.339655303052382</v>
      </c>
      <c r="F30" s="547" t="s">
        <v>54</v>
      </c>
      <c r="G30" s="548"/>
    </row>
    <row r="31" spans="1:7" ht="26.25" customHeight="1" x14ac:dyDescent="0.4">
      <c r="A31" s="113"/>
      <c r="B31" s="122">
        <v>2</v>
      </c>
      <c r="C31" s="149">
        <v>687.5</v>
      </c>
      <c r="D31" s="123">
        <f t="shared" si="0"/>
        <v>96.971516165319315</v>
      </c>
      <c r="F31" s="153" t="s">
        <v>43</v>
      </c>
      <c r="G31" s="154">
        <f>D41</f>
        <v>96.8</v>
      </c>
    </row>
    <row r="32" spans="1:7" ht="26.25" customHeight="1" x14ac:dyDescent="0.4">
      <c r="A32" s="113"/>
      <c r="B32" s="122">
        <v>3</v>
      </c>
      <c r="C32" s="149">
        <v>670.07</v>
      </c>
      <c r="D32" s="123">
        <f t="shared" si="0"/>
        <v>94.513023762757115</v>
      </c>
      <c r="F32" s="153" t="s">
        <v>55</v>
      </c>
      <c r="G32" s="155">
        <v>2.4</v>
      </c>
    </row>
    <row r="33" spans="1:7" ht="26.25" customHeight="1" x14ac:dyDescent="0.4">
      <c r="A33" s="113"/>
      <c r="B33" s="122">
        <v>4</v>
      </c>
      <c r="C33" s="149">
        <v>685.99</v>
      </c>
      <c r="D33" s="123">
        <f t="shared" si="0"/>
        <v>96.758531453450757</v>
      </c>
      <c r="F33" s="153" t="s">
        <v>56</v>
      </c>
      <c r="G33" s="154">
        <f>STDEV(D30:D39)</f>
        <v>0.93382547618591438</v>
      </c>
    </row>
    <row r="34" spans="1:7" ht="26.25" customHeight="1" x14ac:dyDescent="0.4">
      <c r="A34" s="113"/>
      <c r="B34" s="122">
        <v>5</v>
      </c>
      <c r="C34" s="149">
        <v>689.59</v>
      </c>
      <c r="D34" s="123">
        <f t="shared" si="0"/>
        <v>97.266309574461872</v>
      </c>
      <c r="F34" s="153" t="s">
        <v>57</v>
      </c>
      <c r="G34" s="154">
        <f>IF(OR(D41&lt;98.5,D41&gt;101.5),(IF(D41&lt;98.5,98.5,101.5)),G31)</f>
        <v>98.5</v>
      </c>
    </row>
    <row r="35" spans="1:7" ht="27" customHeight="1" x14ac:dyDescent="0.4">
      <c r="A35" s="113"/>
      <c r="B35" s="122">
        <v>6</v>
      </c>
      <c r="C35" s="149">
        <v>692.11</v>
      </c>
      <c r="D35" s="123">
        <f t="shared" si="0"/>
        <v>97.621754259169677</v>
      </c>
      <c r="F35" s="156" t="s">
        <v>58</v>
      </c>
      <c r="G35" s="157">
        <f>ABS(G34-G31)+(G32*G33)</f>
        <v>3.9411811428461974</v>
      </c>
    </row>
    <row r="36" spans="1:7" ht="26.25" customHeight="1" x14ac:dyDescent="0.4">
      <c r="A36" s="113"/>
      <c r="B36" s="122">
        <v>7</v>
      </c>
      <c r="C36" s="149">
        <v>686.91</v>
      </c>
      <c r="D36" s="123">
        <f t="shared" si="0"/>
        <v>96.888296973264701</v>
      </c>
    </row>
    <row r="37" spans="1:7" ht="26.25" customHeight="1" x14ac:dyDescent="0.4">
      <c r="A37" s="113"/>
      <c r="B37" s="122">
        <v>8</v>
      </c>
      <c r="C37" s="149">
        <v>689.33</v>
      </c>
      <c r="D37" s="123">
        <f t="shared" si="0"/>
        <v>97.229636710166645</v>
      </c>
    </row>
    <row r="38" spans="1:7" ht="26.25" customHeight="1" x14ac:dyDescent="0.4">
      <c r="A38" s="113"/>
      <c r="B38" s="122">
        <v>9</v>
      </c>
      <c r="C38" s="149">
        <v>680.14</v>
      </c>
      <c r="D38" s="123">
        <f t="shared" si="0"/>
        <v>95.933392006807665</v>
      </c>
    </row>
    <row r="39" spans="1:7" ht="27" customHeight="1" x14ac:dyDescent="0.4">
      <c r="A39" s="108"/>
      <c r="B39" s="124">
        <v>10</v>
      </c>
      <c r="C39" s="150">
        <v>691.09</v>
      </c>
      <c r="D39" s="125">
        <f t="shared" si="0"/>
        <v>97.477883791549871</v>
      </c>
    </row>
    <row r="40" spans="1:7" ht="18.75" customHeight="1" x14ac:dyDescent="0.3">
      <c r="A40" s="108"/>
      <c r="B40" s="122"/>
      <c r="C40" s="112"/>
      <c r="D40" s="144"/>
    </row>
    <row r="41" spans="1:7" ht="18.75" customHeight="1" x14ac:dyDescent="0.3">
      <c r="A41" s="119"/>
      <c r="B41" s="109" t="s">
        <v>59</v>
      </c>
      <c r="C41" s="152">
        <f>AVERAGE(C30:C39)</f>
        <v>686.28399999999999</v>
      </c>
      <c r="D41" s="127">
        <f>AVERAGE(D30:D39)</f>
        <v>96.8</v>
      </c>
    </row>
    <row r="42" spans="1:7" ht="18.75" customHeight="1" x14ac:dyDescent="0.3">
      <c r="A42" s="119"/>
      <c r="B42" s="109" t="s">
        <v>60</v>
      </c>
      <c r="C42" s="128">
        <f>STDEV(C30:C39)/C41</f>
        <v>9.6469573986148003E-3</v>
      </c>
      <c r="D42" s="128">
        <f>STDEV(D30:D39)/D41</f>
        <v>9.6469573986148176E-3</v>
      </c>
    </row>
    <row r="43" spans="1:7" ht="19.5" customHeight="1" x14ac:dyDescent="0.3">
      <c r="A43" s="119"/>
      <c r="B43" s="114" t="s">
        <v>20</v>
      </c>
      <c r="C43" s="129">
        <f>COUNT(C30:C39)</f>
        <v>10</v>
      </c>
      <c r="D43" s="129">
        <f>COUNT(D30:D39)</f>
        <v>10</v>
      </c>
    </row>
    <row r="44" spans="1:7" ht="18.75" customHeight="1" x14ac:dyDescent="0.3">
      <c r="A44" s="119"/>
      <c r="B44" s="130"/>
      <c r="C44" s="130"/>
      <c r="D44" s="111"/>
      <c r="E44" s="126"/>
      <c r="F44" s="110"/>
      <c r="G44" s="131"/>
    </row>
    <row r="45" spans="1:7" ht="18.75" customHeight="1" x14ac:dyDescent="0.3">
      <c r="A45" s="98"/>
      <c r="B45" s="98"/>
      <c r="C45" s="98"/>
      <c r="D45" s="98"/>
      <c r="E45" s="98"/>
      <c r="F45" s="98"/>
      <c r="G45" s="98"/>
    </row>
    <row r="46" spans="1:7" ht="19.5" customHeight="1" x14ac:dyDescent="0.3">
      <c r="A46" s="133"/>
      <c r="B46" s="133"/>
      <c r="C46" s="134"/>
      <c r="D46" s="134"/>
      <c r="E46" s="134"/>
      <c r="F46" s="134"/>
      <c r="G46" s="134"/>
    </row>
    <row r="47" spans="1:7" ht="18.75" customHeight="1" x14ac:dyDescent="0.3">
      <c r="A47" s="98"/>
      <c r="B47" s="546" t="s">
        <v>26</v>
      </c>
      <c r="C47" s="546"/>
      <c r="D47" s="98"/>
      <c r="E47" s="135" t="s">
        <v>27</v>
      </c>
      <c r="F47" s="136"/>
      <c r="G47" s="142" t="s">
        <v>28</v>
      </c>
    </row>
    <row r="48" spans="1:7" ht="60" customHeight="1" x14ac:dyDescent="0.3">
      <c r="A48" s="137" t="s">
        <v>29</v>
      </c>
      <c r="B48" s="138"/>
      <c r="C48" s="138"/>
      <c r="D48" s="98"/>
      <c r="E48" s="138"/>
      <c r="F48" s="130"/>
      <c r="G48" s="139"/>
    </row>
    <row r="49" spans="1:7" ht="60" customHeight="1" x14ac:dyDescent="0.3">
      <c r="A49" s="137" t="s">
        <v>30</v>
      </c>
      <c r="B49" s="140"/>
      <c r="C49" s="140"/>
      <c r="D49" s="98"/>
      <c r="E49" s="140"/>
      <c r="F49" s="130"/>
      <c r="G49" s="141"/>
    </row>
    <row r="250" spans="1:1" x14ac:dyDescent="0.2">
      <c r="A250">
        <v>0</v>
      </c>
    </row>
  </sheetData>
  <sheetProtection password="F258" sheet="1" objects="1" scenarios="1" formatCells="0" formatColumns="0"/>
  <mergeCells count="8">
    <mergeCell ref="A1:G7"/>
    <mergeCell ref="A8:G14"/>
    <mergeCell ref="B47:C47"/>
    <mergeCell ref="F30:G30"/>
    <mergeCell ref="A16:G16"/>
    <mergeCell ref="B18:C18"/>
    <mergeCell ref="B20:C20"/>
    <mergeCell ref="D27:G27"/>
  </mergeCells>
  <pageMargins left="0.7" right="0.7" top="0.75" bottom="0.75" header="0.3" footer="0.3"/>
  <pageSetup scale="34" orientation="portrait" r:id="rId1"/>
  <headerFooter>
    <oddHeader>&amp;LVer 1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0"/>
  <sheetViews>
    <sheetView view="pageBreakPreview" topLeftCell="A69" zoomScale="55" zoomScaleNormal="70" zoomScaleSheetLayoutView="55" workbookViewId="0">
      <selection activeCell="C95" sqref="C95"/>
    </sheetView>
  </sheetViews>
  <sheetFormatPr defaultRowHeight="12.75" x14ac:dyDescent="0.2"/>
  <cols>
    <col min="1" max="1" width="54.85546875" customWidth="1"/>
    <col min="2" max="2" width="39.42578125" customWidth="1"/>
    <col min="3" max="3" width="42.5703125" customWidth="1"/>
    <col min="4" max="4" width="31.42578125" customWidth="1"/>
    <col min="5" max="5" width="28.28515625" customWidth="1"/>
    <col min="6" max="6" width="23.85546875" customWidth="1"/>
    <col min="7" max="7" width="26" customWidth="1"/>
  </cols>
  <sheetData>
    <row r="1" spans="1:7" x14ac:dyDescent="0.2">
      <c r="A1" s="544" t="s">
        <v>45</v>
      </c>
      <c r="B1" s="544"/>
      <c r="C1" s="544"/>
      <c r="D1" s="544"/>
      <c r="E1" s="544"/>
      <c r="F1" s="544"/>
      <c r="G1" s="544"/>
    </row>
    <row r="2" spans="1:7" x14ac:dyDescent="0.2">
      <c r="A2" s="544"/>
      <c r="B2" s="544"/>
      <c r="C2" s="544"/>
      <c r="D2" s="544"/>
      <c r="E2" s="544"/>
      <c r="F2" s="544"/>
      <c r="G2" s="544"/>
    </row>
    <row r="3" spans="1:7" x14ac:dyDescent="0.2">
      <c r="A3" s="544"/>
      <c r="B3" s="544"/>
      <c r="C3" s="544"/>
      <c r="D3" s="544"/>
      <c r="E3" s="544"/>
      <c r="F3" s="544"/>
      <c r="G3" s="544"/>
    </row>
    <row r="4" spans="1:7" x14ac:dyDescent="0.2">
      <c r="A4" s="544"/>
      <c r="B4" s="544"/>
      <c r="C4" s="544"/>
      <c r="D4" s="544"/>
      <c r="E4" s="544"/>
      <c r="F4" s="544"/>
      <c r="G4" s="544"/>
    </row>
    <row r="5" spans="1:7" x14ac:dyDescent="0.2">
      <c r="A5" s="544"/>
      <c r="B5" s="544"/>
      <c r="C5" s="544"/>
      <c r="D5" s="544"/>
      <c r="E5" s="544"/>
      <c r="F5" s="544"/>
      <c r="G5" s="544"/>
    </row>
    <row r="6" spans="1:7" x14ac:dyDescent="0.2">
      <c r="A6" s="544"/>
      <c r="B6" s="544"/>
      <c r="C6" s="544"/>
      <c r="D6" s="544"/>
      <c r="E6" s="544"/>
      <c r="F6" s="544"/>
      <c r="G6" s="544"/>
    </row>
    <row r="7" spans="1:7" x14ac:dyDescent="0.2">
      <c r="A7" s="544"/>
      <c r="B7" s="544"/>
      <c r="C7" s="544"/>
      <c r="D7" s="544"/>
      <c r="E7" s="544"/>
      <c r="F7" s="544"/>
      <c r="G7" s="544"/>
    </row>
    <row r="8" spans="1:7" x14ac:dyDescent="0.2">
      <c r="A8" s="545" t="s">
        <v>46</v>
      </c>
      <c r="B8" s="545"/>
      <c r="C8" s="545"/>
      <c r="D8" s="545"/>
      <c r="E8" s="545"/>
      <c r="F8" s="545"/>
      <c r="G8" s="545"/>
    </row>
    <row r="9" spans="1:7" x14ac:dyDescent="0.2">
      <c r="A9" s="545"/>
      <c r="B9" s="545"/>
      <c r="C9" s="545"/>
      <c r="D9" s="545"/>
      <c r="E9" s="545"/>
      <c r="F9" s="545"/>
      <c r="G9" s="545"/>
    </row>
    <row r="10" spans="1:7" x14ac:dyDescent="0.2">
      <c r="A10" s="545"/>
      <c r="B10" s="545"/>
      <c r="C10" s="545"/>
      <c r="D10" s="545"/>
      <c r="E10" s="545"/>
      <c r="F10" s="545"/>
      <c r="G10" s="545"/>
    </row>
    <row r="11" spans="1:7" x14ac:dyDescent="0.2">
      <c r="A11" s="545"/>
      <c r="B11" s="545"/>
      <c r="C11" s="545"/>
      <c r="D11" s="545"/>
      <c r="E11" s="545"/>
      <c r="F11" s="545"/>
      <c r="G11" s="545"/>
    </row>
    <row r="12" spans="1:7" x14ac:dyDescent="0.2">
      <c r="A12" s="545"/>
      <c r="B12" s="545"/>
      <c r="C12" s="545"/>
      <c r="D12" s="545"/>
      <c r="E12" s="545"/>
      <c r="F12" s="545"/>
      <c r="G12" s="545"/>
    </row>
    <row r="13" spans="1:7" x14ac:dyDescent="0.2">
      <c r="A13" s="545"/>
      <c r="B13" s="545"/>
      <c r="C13" s="545"/>
      <c r="D13" s="545"/>
      <c r="E13" s="545"/>
      <c r="F13" s="545"/>
      <c r="G13" s="545"/>
    </row>
    <row r="14" spans="1:7" x14ac:dyDescent="0.2">
      <c r="A14" s="545"/>
      <c r="B14" s="545"/>
      <c r="C14" s="545"/>
      <c r="D14" s="545"/>
      <c r="E14" s="545"/>
      <c r="F14" s="545"/>
      <c r="G14" s="545"/>
    </row>
    <row r="15" spans="1:7" ht="19.5" customHeight="1" x14ac:dyDescent="0.3">
      <c r="A15" s="158"/>
      <c r="B15" s="158"/>
      <c r="C15" s="158"/>
      <c r="D15" s="158"/>
      <c r="E15" s="158"/>
      <c r="F15" s="158"/>
      <c r="G15" s="158"/>
    </row>
    <row r="16" spans="1:7" ht="19.5" customHeight="1" x14ac:dyDescent="0.3">
      <c r="A16" s="549" t="s">
        <v>31</v>
      </c>
      <c r="B16" s="550"/>
      <c r="C16" s="550"/>
      <c r="D16" s="550"/>
      <c r="E16" s="550"/>
      <c r="F16" s="550"/>
      <c r="G16" s="550"/>
    </row>
    <row r="17" spans="1:7" ht="18.75" customHeight="1" x14ac:dyDescent="0.3">
      <c r="A17" s="159" t="s">
        <v>47</v>
      </c>
      <c r="B17" s="159"/>
      <c r="C17" s="158"/>
      <c r="D17" s="158"/>
      <c r="E17" s="158"/>
      <c r="F17" s="158"/>
      <c r="G17" s="158"/>
    </row>
    <row r="18" spans="1:7" ht="26.25" customHeight="1" x14ac:dyDescent="0.4">
      <c r="A18" s="160" t="s">
        <v>33</v>
      </c>
      <c r="B18" s="551" t="s">
        <v>5</v>
      </c>
      <c r="C18" s="551"/>
      <c r="D18" s="161"/>
      <c r="E18" s="161"/>
      <c r="F18" s="158"/>
      <c r="G18" s="158"/>
    </row>
    <row r="19" spans="1:7" ht="26.25" customHeight="1" x14ac:dyDescent="0.4">
      <c r="A19" s="160" t="s">
        <v>34</v>
      </c>
      <c r="B19" s="332" t="s">
        <v>7</v>
      </c>
      <c r="C19" s="158">
        <v>36</v>
      </c>
      <c r="E19" s="158"/>
      <c r="F19" s="158"/>
      <c r="G19" s="158"/>
    </row>
    <row r="20" spans="1:7" ht="26.25" customHeight="1" x14ac:dyDescent="0.4">
      <c r="A20" s="160" t="s">
        <v>35</v>
      </c>
      <c r="B20" s="552" t="s">
        <v>9</v>
      </c>
      <c r="C20" s="552"/>
      <c r="D20" s="158"/>
      <c r="E20" s="158"/>
      <c r="F20" s="158"/>
      <c r="G20" s="158"/>
    </row>
    <row r="21" spans="1:7" ht="26.25" customHeight="1" x14ac:dyDescent="0.4">
      <c r="A21" s="160" t="s">
        <v>36</v>
      </c>
      <c r="B21" s="162" t="s">
        <v>11</v>
      </c>
      <c r="C21" s="162"/>
      <c r="D21" s="163"/>
      <c r="E21" s="163"/>
      <c r="F21" s="163"/>
      <c r="G21" s="163"/>
    </row>
    <row r="22" spans="1:7" ht="26.25" customHeight="1" x14ac:dyDescent="0.4">
      <c r="A22" s="160" t="s">
        <v>37</v>
      </c>
      <c r="B22" s="164" t="s">
        <v>12</v>
      </c>
      <c r="C22" s="165"/>
      <c r="D22" s="158"/>
      <c r="E22" s="158"/>
      <c r="F22" s="158"/>
      <c r="G22" s="158"/>
    </row>
    <row r="23" spans="1:7" ht="26.25" customHeight="1" x14ac:dyDescent="0.4">
      <c r="A23" s="160" t="s">
        <v>38</v>
      </c>
      <c r="B23" s="164">
        <v>42766</v>
      </c>
      <c r="C23" s="165"/>
      <c r="D23" s="158"/>
      <c r="E23" s="158"/>
      <c r="F23" s="158"/>
      <c r="G23" s="158"/>
    </row>
    <row r="24" spans="1:7" ht="18.75" customHeight="1" x14ac:dyDescent="0.3">
      <c r="A24" s="160"/>
      <c r="B24" s="166"/>
      <c r="C24" s="158"/>
      <c r="D24" s="158"/>
      <c r="E24" s="158"/>
      <c r="F24" s="158"/>
      <c r="G24" s="158"/>
    </row>
    <row r="25" spans="1:7" ht="18.75" customHeight="1" x14ac:dyDescent="0.3">
      <c r="A25" s="167" t="s">
        <v>1</v>
      </c>
      <c r="B25" s="166"/>
      <c r="C25" s="158"/>
      <c r="D25" s="158"/>
      <c r="E25" s="158"/>
      <c r="F25" s="158"/>
      <c r="G25" s="158"/>
    </row>
    <row r="26" spans="1:7" ht="26.25" customHeight="1" x14ac:dyDescent="0.4">
      <c r="A26" s="168" t="s">
        <v>4</v>
      </c>
      <c r="B26" s="551" t="s">
        <v>163</v>
      </c>
      <c r="C26" s="551"/>
      <c r="D26" s="158"/>
      <c r="E26" s="158"/>
      <c r="F26" s="158"/>
      <c r="G26" s="158"/>
    </row>
    <row r="27" spans="1:7" ht="26.25" customHeight="1" x14ac:dyDescent="0.4">
      <c r="A27" s="169" t="s">
        <v>61</v>
      </c>
      <c r="B27" s="552" t="s">
        <v>164</v>
      </c>
      <c r="C27" s="552"/>
      <c r="D27" s="158"/>
      <c r="E27" s="158"/>
      <c r="F27" s="158"/>
      <c r="G27" s="158"/>
    </row>
    <row r="28" spans="1:7" ht="27" customHeight="1" x14ac:dyDescent="0.4">
      <c r="A28" s="169" t="s">
        <v>6</v>
      </c>
      <c r="B28" s="170">
        <v>99.3</v>
      </c>
      <c r="C28" s="158"/>
      <c r="D28" s="158"/>
      <c r="E28" s="158"/>
      <c r="F28" s="158"/>
      <c r="G28" s="158"/>
    </row>
    <row r="29" spans="1:7" ht="27" customHeight="1" x14ac:dyDescent="0.4">
      <c r="A29" s="169" t="s">
        <v>62</v>
      </c>
      <c r="B29" s="171">
        <v>0</v>
      </c>
      <c r="C29" s="555" t="s">
        <v>63</v>
      </c>
      <c r="D29" s="556"/>
      <c r="E29" s="556"/>
      <c r="F29" s="556"/>
      <c r="G29" s="569"/>
    </row>
    <row r="30" spans="1:7" ht="19.5" customHeight="1" x14ac:dyDescent="0.3">
      <c r="A30" s="169" t="s">
        <v>64</v>
      </c>
      <c r="B30" s="173">
        <f>B28-B29</f>
        <v>99.3</v>
      </c>
      <c r="C30" s="174"/>
      <c r="D30" s="174"/>
      <c r="E30" s="174"/>
      <c r="F30" s="174"/>
      <c r="G30" s="174"/>
    </row>
    <row r="31" spans="1:7" ht="27" customHeight="1" x14ac:dyDescent="0.4">
      <c r="A31" s="169" t="s">
        <v>65</v>
      </c>
      <c r="B31" s="175">
        <v>1</v>
      </c>
      <c r="C31" s="555" t="s">
        <v>66</v>
      </c>
      <c r="D31" s="556"/>
      <c r="E31" s="556"/>
      <c r="F31" s="556"/>
      <c r="G31" s="569"/>
    </row>
    <row r="32" spans="1:7" ht="27" customHeight="1" x14ac:dyDescent="0.4">
      <c r="A32" s="169" t="s">
        <v>67</v>
      </c>
      <c r="B32" s="175">
        <v>1</v>
      </c>
      <c r="C32" s="555" t="s">
        <v>68</v>
      </c>
      <c r="D32" s="556"/>
      <c r="E32" s="556"/>
      <c r="F32" s="556"/>
      <c r="G32" s="569"/>
    </row>
    <row r="33" spans="1:7" ht="18.75" customHeight="1" x14ac:dyDescent="0.3">
      <c r="A33" s="169"/>
      <c r="B33" s="176"/>
      <c r="C33" s="177"/>
      <c r="D33" s="177"/>
      <c r="E33" s="177"/>
      <c r="F33" s="177"/>
      <c r="G33" s="177"/>
    </row>
    <row r="34" spans="1:7" ht="18.75" customHeight="1" x14ac:dyDescent="0.3">
      <c r="A34" s="169" t="s">
        <v>69</v>
      </c>
      <c r="B34" s="178">
        <f>B31/B32</f>
        <v>1</v>
      </c>
      <c r="C34" s="158" t="s">
        <v>70</v>
      </c>
      <c r="D34" s="158"/>
      <c r="E34" s="158"/>
      <c r="F34" s="158"/>
      <c r="G34" s="158"/>
    </row>
    <row r="35" spans="1:7" ht="19.5" customHeight="1" x14ac:dyDescent="0.3">
      <c r="A35" s="169"/>
      <c r="B35" s="173"/>
      <c r="C35" s="172"/>
      <c r="D35" s="172"/>
      <c r="E35" s="172"/>
      <c r="F35" s="172"/>
      <c r="G35" s="158"/>
    </row>
    <row r="36" spans="1:7" ht="27" customHeight="1" x14ac:dyDescent="0.4">
      <c r="A36" s="179" t="s">
        <v>71</v>
      </c>
      <c r="B36" s="180">
        <v>50</v>
      </c>
      <c r="C36" s="158"/>
      <c r="D36" s="547" t="s">
        <v>72</v>
      </c>
      <c r="E36" s="570"/>
      <c r="F36" s="547" t="s">
        <v>73</v>
      </c>
      <c r="G36" s="548"/>
    </row>
    <row r="37" spans="1:7" ht="26.25" customHeight="1" x14ac:dyDescent="0.4">
      <c r="A37" s="181" t="s">
        <v>74</v>
      </c>
      <c r="B37" s="182">
        <v>1</v>
      </c>
      <c r="C37" s="183" t="s">
        <v>75</v>
      </c>
      <c r="D37" s="184" t="s">
        <v>76</v>
      </c>
      <c r="E37" s="185" t="s">
        <v>77</v>
      </c>
      <c r="F37" s="184" t="s">
        <v>76</v>
      </c>
      <c r="G37" s="186" t="s">
        <v>77</v>
      </c>
    </row>
    <row r="38" spans="1:7" ht="26.25" customHeight="1" x14ac:dyDescent="0.4">
      <c r="A38" s="181" t="s">
        <v>78</v>
      </c>
      <c r="B38" s="182">
        <v>1</v>
      </c>
      <c r="C38" s="187">
        <v>1</v>
      </c>
      <c r="D38" s="188">
        <v>199310988</v>
      </c>
      <c r="E38" s="189">
        <f>IF(ISBLANK(D38),"-",$D$48/$D$45*D38)</f>
        <v>197734768.11154893</v>
      </c>
      <c r="F38" s="188">
        <v>195123668</v>
      </c>
      <c r="G38" s="190">
        <f>IF(ISBLANK(F38),"-",$D$48/$F$45*F38)</f>
        <v>193933275.71775585</v>
      </c>
    </row>
    <row r="39" spans="1:7" ht="26.25" customHeight="1" x14ac:dyDescent="0.4">
      <c r="A39" s="181" t="s">
        <v>79</v>
      </c>
      <c r="B39" s="182">
        <v>1</v>
      </c>
      <c r="C39" s="191">
        <v>2</v>
      </c>
      <c r="D39" s="192">
        <v>199152276</v>
      </c>
      <c r="E39" s="193">
        <f>IF(ISBLANK(D39),"-",$D$48/$D$45*D39)</f>
        <v>197577311.26066765</v>
      </c>
      <c r="F39" s="192">
        <v>195597961</v>
      </c>
      <c r="G39" s="194">
        <f>IF(ISBLANK(F39),"-",$D$48/$F$45*F39)</f>
        <v>194404675.19524005</v>
      </c>
    </row>
    <row r="40" spans="1:7" ht="26.25" customHeight="1" x14ac:dyDescent="0.4">
      <c r="A40" s="181" t="s">
        <v>80</v>
      </c>
      <c r="B40" s="182">
        <v>1</v>
      </c>
      <c r="C40" s="191">
        <v>3</v>
      </c>
      <c r="D40" s="192">
        <v>200251600</v>
      </c>
      <c r="E40" s="193">
        <f>IF(ISBLANK(D40),"-",$D$48/$D$45*D40)</f>
        <v>198667941.42812967</v>
      </c>
      <c r="F40" s="192">
        <v>195755581</v>
      </c>
      <c r="G40" s="194">
        <f>IF(ISBLANK(F40),"-",$D$48/$F$45*F40)</f>
        <v>194561333.60183907</v>
      </c>
    </row>
    <row r="41" spans="1:7" ht="26.25" customHeight="1" x14ac:dyDescent="0.4">
      <c r="A41" s="181" t="s">
        <v>81</v>
      </c>
      <c r="B41" s="182">
        <v>1</v>
      </c>
      <c r="C41" s="195">
        <v>4</v>
      </c>
      <c r="D41" s="196"/>
      <c r="E41" s="197" t="str">
        <f>IF(ISBLANK(D41),"-",$D$48/$D$45*D41)</f>
        <v>-</v>
      </c>
      <c r="F41" s="196"/>
      <c r="G41" s="198" t="str">
        <f>IF(ISBLANK(F41),"-",$D$48/$F$45*F41)</f>
        <v>-</v>
      </c>
    </row>
    <row r="42" spans="1:7" ht="27" customHeight="1" x14ac:dyDescent="0.4">
      <c r="A42" s="181" t="s">
        <v>82</v>
      </c>
      <c r="B42" s="182">
        <v>1</v>
      </c>
      <c r="C42" s="199" t="s">
        <v>83</v>
      </c>
      <c r="D42" s="200">
        <f>AVERAGE(D38:D41)</f>
        <v>199571621.33333334</v>
      </c>
      <c r="E42" s="201">
        <f>AVERAGE(E38:E41)</f>
        <v>197993340.26678208</v>
      </c>
      <c r="F42" s="200">
        <f>AVERAGE(F38:F41)</f>
        <v>195492403.33333334</v>
      </c>
      <c r="G42" s="202">
        <f>AVERAGE(G38:G41)</f>
        <v>194299761.50494501</v>
      </c>
    </row>
    <row r="43" spans="1:7" ht="26.25" customHeight="1" x14ac:dyDescent="0.4">
      <c r="A43" s="181" t="s">
        <v>84</v>
      </c>
      <c r="B43" s="182">
        <v>1</v>
      </c>
      <c r="C43" s="203" t="s">
        <v>85</v>
      </c>
      <c r="D43" s="204">
        <v>32.99</v>
      </c>
      <c r="E43" s="205"/>
      <c r="F43" s="204">
        <v>32.93</v>
      </c>
      <c r="G43" s="158"/>
    </row>
    <row r="44" spans="1:7" ht="26.25" customHeight="1" x14ac:dyDescent="0.4">
      <c r="A44" s="181" t="s">
        <v>86</v>
      </c>
      <c r="B44" s="182">
        <v>1</v>
      </c>
      <c r="C44" s="206" t="s">
        <v>87</v>
      </c>
      <c r="D44" s="207">
        <f>D43*$B$34</f>
        <v>32.99</v>
      </c>
      <c r="E44" s="208"/>
      <c r="F44" s="207">
        <f>F43*$B$34</f>
        <v>32.93</v>
      </c>
      <c r="G44" s="158"/>
    </row>
    <row r="45" spans="1:7" ht="19.5" customHeight="1" x14ac:dyDescent="0.3">
      <c r="A45" s="181" t="s">
        <v>88</v>
      </c>
      <c r="B45" s="209">
        <f>(B44/B43)*(B42/B41)*(B40/B39)*(B38/B37)*B36</f>
        <v>50</v>
      </c>
      <c r="C45" s="206" t="s">
        <v>89</v>
      </c>
      <c r="D45" s="210">
        <f>D44*$B$30/100</f>
        <v>32.759070000000001</v>
      </c>
      <c r="E45" s="211"/>
      <c r="F45" s="210">
        <f>F44*$B$30/100</f>
        <v>32.699489999999997</v>
      </c>
      <c r="G45" s="158"/>
    </row>
    <row r="46" spans="1:7" ht="19.5" customHeight="1" x14ac:dyDescent="0.3">
      <c r="A46" s="557" t="s">
        <v>90</v>
      </c>
      <c r="B46" s="558"/>
      <c r="C46" s="206" t="s">
        <v>91</v>
      </c>
      <c r="D46" s="207">
        <f>D45/$B$45</f>
        <v>0.65518140000000002</v>
      </c>
      <c r="E46" s="211"/>
      <c r="F46" s="212">
        <f>F45/$B$45</f>
        <v>0.65398979999999995</v>
      </c>
      <c r="G46" s="158"/>
    </row>
    <row r="47" spans="1:7" ht="27" customHeight="1" x14ac:dyDescent="0.4">
      <c r="A47" s="559"/>
      <c r="B47" s="560"/>
      <c r="C47" s="213" t="s">
        <v>92</v>
      </c>
      <c r="D47" s="214">
        <v>0.65</v>
      </c>
      <c r="E47" s="158"/>
      <c r="F47" s="215"/>
      <c r="G47" s="158"/>
    </row>
    <row r="48" spans="1:7" ht="18.75" customHeight="1" x14ac:dyDescent="0.3">
      <c r="A48" s="158"/>
      <c r="B48" s="158"/>
      <c r="C48" s="216" t="s">
        <v>93</v>
      </c>
      <c r="D48" s="210">
        <f>D47*$B$45</f>
        <v>32.5</v>
      </c>
      <c r="E48" s="158"/>
      <c r="F48" s="215"/>
      <c r="G48" s="158"/>
    </row>
    <row r="49" spans="1:7" ht="19.5" customHeight="1" x14ac:dyDescent="0.3">
      <c r="A49" s="158"/>
      <c r="B49" s="158"/>
      <c r="C49" s="217" t="s">
        <v>94</v>
      </c>
      <c r="D49" s="218">
        <f>D48/B34</f>
        <v>32.5</v>
      </c>
      <c r="E49" s="158"/>
      <c r="F49" s="215"/>
      <c r="G49" s="158"/>
    </row>
    <row r="50" spans="1:7" ht="18.75" customHeight="1" x14ac:dyDescent="0.3">
      <c r="A50" s="158"/>
      <c r="B50" s="158"/>
      <c r="C50" s="179" t="s">
        <v>95</v>
      </c>
      <c r="D50" s="219">
        <f>AVERAGE(E38:E41,G38:G41)</f>
        <v>196146550.88586354</v>
      </c>
      <c r="E50" s="158"/>
      <c r="F50" s="220"/>
      <c r="G50" s="158"/>
    </row>
    <row r="51" spans="1:7" ht="18.75" customHeight="1" x14ac:dyDescent="0.3">
      <c r="A51" s="158"/>
      <c r="B51" s="158"/>
      <c r="C51" s="181" t="s">
        <v>60</v>
      </c>
      <c r="D51" s="221">
        <f>STDEV(E38:E41,G38:G41)/D50</f>
        <v>1.0540531371803321E-2</v>
      </c>
      <c r="E51" s="158"/>
      <c r="F51" s="220"/>
      <c r="G51" s="158"/>
    </row>
    <row r="52" spans="1:7" ht="19.5" customHeight="1" x14ac:dyDescent="0.3">
      <c r="A52" s="158"/>
      <c r="B52" s="158"/>
      <c r="C52" s="222" t="s">
        <v>20</v>
      </c>
      <c r="D52" s="223">
        <f>COUNT(E38:E41,G38:G41)</f>
        <v>6</v>
      </c>
      <c r="E52" s="158"/>
      <c r="F52" s="220"/>
      <c r="G52" s="158"/>
    </row>
    <row r="53" spans="1:7" ht="18.75" customHeight="1" x14ac:dyDescent="0.3">
      <c r="A53" s="158"/>
      <c r="B53" s="158"/>
      <c r="C53" s="158"/>
      <c r="D53" s="158"/>
      <c r="E53" s="158"/>
      <c r="F53" s="158"/>
      <c r="G53" s="158"/>
    </row>
    <row r="54" spans="1:7" ht="18.75" customHeight="1" x14ac:dyDescent="0.3">
      <c r="A54" s="159" t="s">
        <v>1</v>
      </c>
      <c r="B54" s="224" t="s">
        <v>96</v>
      </c>
      <c r="C54" s="158"/>
      <c r="D54" s="158"/>
      <c r="E54" s="158"/>
      <c r="F54" s="158"/>
      <c r="G54" s="158"/>
    </row>
    <row r="55" spans="1:7" ht="18.75" customHeight="1" x14ac:dyDescent="0.3">
      <c r="A55" s="158" t="s">
        <v>49</v>
      </c>
      <c r="B55" s="225" t="str">
        <f>B21</f>
        <v>Each caplet contains paracetamol 500 mg and caffeine 65 mg</v>
      </c>
      <c r="C55" s="158"/>
      <c r="D55" s="158"/>
      <c r="E55" s="158"/>
      <c r="F55" s="158"/>
      <c r="G55" s="158"/>
    </row>
    <row r="56" spans="1:7" ht="26.25" customHeight="1" x14ac:dyDescent="0.4">
      <c r="A56" s="226" t="s">
        <v>97</v>
      </c>
      <c r="B56" s="227">
        <v>65</v>
      </c>
      <c r="C56" s="158" t="str">
        <f>B20</f>
        <v>Paracetamol 500mg and caffeine 65 mg.</v>
      </c>
      <c r="D56" s="158"/>
      <c r="E56" s="158"/>
      <c r="F56" s="158"/>
      <c r="G56" s="158"/>
    </row>
    <row r="57" spans="1:7" ht="17.25" customHeight="1" x14ac:dyDescent="0.3">
      <c r="A57" s="228"/>
      <c r="B57" s="228"/>
      <c r="C57" s="228"/>
      <c r="D57" s="229"/>
      <c r="E57" s="229"/>
      <c r="F57" s="229"/>
      <c r="G57" s="229"/>
    </row>
    <row r="58" spans="1:7" ht="57.75" customHeight="1" x14ac:dyDescent="0.4">
      <c r="A58" s="179" t="s">
        <v>98</v>
      </c>
      <c r="B58" s="180">
        <v>100</v>
      </c>
      <c r="C58" s="230" t="s">
        <v>99</v>
      </c>
      <c r="D58" s="231" t="s">
        <v>100</v>
      </c>
      <c r="E58" s="232" t="s">
        <v>101</v>
      </c>
      <c r="F58" s="233" t="s">
        <v>53</v>
      </c>
      <c r="G58" s="234" t="s">
        <v>102</v>
      </c>
    </row>
    <row r="59" spans="1:7" ht="26.25" customHeight="1" x14ac:dyDescent="0.4">
      <c r="A59" s="181" t="s">
        <v>74</v>
      </c>
      <c r="B59" s="182">
        <v>1</v>
      </c>
      <c r="C59" s="235">
        <v>1</v>
      </c>
      <c r="D59" s="335">
        <v>199935890</v>
      </c>
      <c r="E59" s="236">
        <f t="shared" ref="E59:E68" si="0">IF(ISBLANK(D59),"-",D59/$D$50*$D$47*$B$67)</f>
        <v>66.255729663899089</v>
      </c>
      <c r="F59" s="237">
        <f t="shared" ref="F59:F68" si="1">IF(ISBLANK(D59),"-",E59/$E$70*100)</f>
        <v>99.061027719863844</v>
      </c>
      <c r="G59" s="238">
        <f t="shared" ref="G59:G68" si="2">IF(ISBLANK(D59),"-",E59/$B$56*100)</f>
        <v>101.93189179061399</v>
      </c>
    </row>
    <row r="60" spans="1:7" ht="26.25" customHeight="1" x14ac:dyDescent="0.4">
      <c r="A60" s="181" t="s">
        <v>78</v>
      </c>
      <c r="B60" s="182">
        <v>1</v>
      </c>
      <c r="C60" s="239">
        <v>2</v>
      </c>
      <c r="D60" s="336">
        <v>200644272</v>
      </c>
      <c r="E60" s="240">
        <f t="shared" si="0"/>
        <v>66.490476743529328</v>
      </c>
      <c r="F60" s="241">
        <f t="shared" si="1"/>
        <v>99.412005470473076</v>
      </c>
      <c r="G60" s="242">
        <f t="shared" si="2"/>
        <v>102.29304114389129</v>
      </c>
    </row>
    <row r="61" spans="1:7" ht="26.25" customHeight="1" x14ac:dyDescent="0.4">
      <c r="A61" s="181" t="s">
        <v>79</v>
      </c>
      <c r="B61" s="182">
        <v>1</v>
      </c>
      <c r="C61" s="239">
        <v>3</v>
      </c>
      <c r="D61" s="336">
        <v>206016851</v>
      </c>
      <c r="E61" s="240">
        <f t="shared" si="0"/>
        <v>68.270868157106662</v>
      </c>
      <c r="F61" s="241">
        <f t="shared" si="1"/>
        <v>102.07392473492409</v>
      </c>
      <c r="G61" s="242">
        <f t="shared" si="2"/>
        <v>105.03210485708718</v>
      </c>
    </row>
    <row r="62" spans="1:7" ht="26.25" customHeight="1" x14ac:dyDescent="0.4">
      <c r="A62" s="181" t="s">
        <v>80</v>
      </c>
      <c r="B62" s="182">
        <v>1</v>
      </c>
      <c r="C62" s="239">
        <v>4</v>
      </c>
      <c r="D62" s="336">
        <v>201159141</v>
      </c>
      <c r="E62" s="240">
        <f t="shared" si="0"/>
        <v>66.66109654208735</v>
      </c>
      <c r="F62" s="241">
        <f t="shared" si="1"/>
        <v>99.667104503873702</v>
      </c>
      <c r="G62" s="242">
        <f t="shared" si="2"/>
        <v>102.55553314167285</v>
      </c>
    </row>
    <row r="63" spans="1:7" ht="26.25" customHeight="1" x14ac:dyDescent="0.4">
      <c r="A63" s="181" t="s">
        <v>81</v>
      </c>
      <c r="B63" s="182">
        <v>1</v>
      </c>
      <c r="C63" s="239">
        <v>5</v>
      </c>
      <c r="D63" s="336">
        <v>206409172</v>
      </c>
      <c r="E63" s="240">
        <f t="shared" si="0"/>
        <v>68.400877402157505</v>
      </c>
      <c r="F63" s="241">
        <f t="shared" si="1"/>
        <v>102.26830565100715</v>
      </c>
      <c r="G63" s="242">
        <f t="shared" si="2"/>
        <v>105.23211908024233</v>
      </c>
    </row>
    <row r="64" spans="1:7" ht="26.25" customHeight="1" x14ac:dyDescent="0.4">
      <c r="A64" s="181" t="s">
        <v>82</v>
      </c>
      <c r="B64" s="182">
        <v>1</v>
      </c>
      <c r="C64" s="239">
        <v>6</v>
      </c>
      <c r="D64" s="336">
        <v>200547077</v>
      </c>
      <c r="E64" s="240">
        <f t="shared" si="0"/>
        <v>66.458267790726083</v>
      </c>
      <c r="F64" s="241">
        <f t="shared" si="1"/>
        <v>99.363848850922494</v>
      </c>
      <c r="G64" s="242">
        <f t="shared" si="2"/>
        <v>102.24348890880937</v>
      </c>
    </row>
    <row r="65" spans="1:7" ht="26.25" customHeight="1" x14ac:dyDescent="0.4">
      <c r="A65" s="181" t="s">
        <v>84</v>
      </c>
      <c r="B65" s="182">
        <v>1</v>
      </c>
      <c r="C65" s="239">
        <v>7</v>
      </c>
      <c r="D65" s="336">
        <v>201055904</v>
      </c>
      <c r="E65" s="240">
        <f t="shared" si="0"/>
        <v>66.626885361876973</v>
      </c>
      <c r="F65" s="241">
        <f t="shared" si="1"/>
        <v>99.615954291079419</v>
      </c>
      <c r="G65" s="242">
        <f t="shared" si="2"/>
        <v>102.50290055673381</v>
      </c>
    </row>
    <row r="66" spans="1:7" ht="26.25" customHeight="1" x14ac:dyDescent="0.4">
      <c r="A66" s="181" t="s">
        <v>86</v>
      </c>
      <c r="B66" s="182">
        <v>1</v>
      </c>
      <c r="C66" s="239">
        <v>8</v>
      </c>
      <c r="D66" s="336">
        <v>201316919</v>
      </c>
      <c r="E66" s="240">
        <f t="shared" si="0"/>
        <v>66.713381784696438</v>
      </c>
      <c r="F66" s="241">
        <f t="shared" si="1"/>
        <v>99.745277816487004</v>
      </c>
      <c r="G66" s="242">
        <f t="shared" si="2"/>
        <v>102.63597197645606</v>
      </c>
    </row>
    <row r="67" spans="1:7" ht="27" customHeight="1" x14ac:dyDescent="0.4">
      <c r="A67" s="181" t="s">
        <v>88</v>
      </c>
      <c r="B67" s="209">
        <f>(B66/B65)*(B64/B63)*(B62/B61)*(B60/B59)*B58</f>
        <v>100</v>
      </c>
      <c r="C67" s="239">
        <v>9</v>
      </c>
      <c r="D67" s="336">
        <v>200925448</v>
      </c>
      <c r="E67" s="240">
        <f t="shared" si="0"/>
        <v>66.583654216788261</v>
      </c>
      <c r="F67" s="241">
        <f t="shared" si="1"/>
        <v>99.551318044769559</v>
      </c>
      <c r="G67" s="242">
        <f t="shared" si="2"/>
        <v>102.43639110275117</v>
      </c>
    </row>
    <row r="68" spans="1:7" ht="27" customHeight="1" x14ac:dyDescent="0.4">
      <c r="A68" s="557" t="s">
        <v>90</v>
      </c>
      <c r="B68" s="562"/>
      <c r="C68" s="243">
        <v>10</v>
      </c>
      <c r="D68" s="337">
        <v>200299600</v>
      </c>
      <c r="E68" s="244">
        <f t="shared" si="0"/>
        <v>66.37625765632734</v>
      </c>
      <c r="F68" s="245">
        <f t="shared" si="1"/>
        <v>99.241232916599614</v>
      </c>
      <c r="G68" s="246">
        <f t="shared" si="2"/>
        <v>102.11731947127282</v>
      </c>
    </row>
    <row r="69" spans="1:7" ht="19.5" customHeight="1" x14ac:dyDescent="0.3">
      <c r="A69" s="559"/>
      <c r="B69" s="563"/>
      <c r="C69" s="239"/>
      <c r="D69" s="211"/>
      <c r="E69" s="247"/>
      <c r="F69" s="229"/>
      <c r="G69" s="248"/>
    </row>
    <row r="70" spans="1:7" ht="26.25" customHeight="1" x14ac:dyDescent="0.4">
      <c r="A70" s="229"/>
      <c r="B70" s="229"/>
      <c r="C70" s="249" t="s">
        <v>59</v>
      </c>
      <c r="D70" s="250"/>
      <c r="E70" s="251">
        <f>AVERAGE(E59:E68)</f>
        <v>66.883749531919506</v>
      </c>
      <c r="F70" s="251">
        <f>AVERAGE(F59:F68)</f>
        <v>100.00000000000001</v>
      </c>
      <c r="G70" s="252">
        <f>AVERAGE(G59:G68)</f>
        <v>102.89807620295309</v>
      </c>
    </row>
    <row r="71" spans="1:7" ht="26.25" customHeight="1" x14ac:dyDescent="0.4">
      <c r="A71" s="229"/>
      <c r="B71" s="229"/>
      <c r="C71" s="249"/>
      <c r="D71" s="250"/>
      <c r="E71" s="253">
        <f>STDEV(E59:E68)/E70</f>
        <v>1.163266761183431E-2</v>
      </c>
      <c r="F71" s="253">
        <f>STDEV(F59:F68)/F70</f>
        <v>1.1632667611834313E-2</v>
      </c>
      <c r="G71" s="254">
        <f>STDEV(G59:G68)/G70</f>
        <v>1.1632667611834329E-2</v>
      </c>
    </row>
    <row r="72" spans="1:7" ht="27" customHeight="1" x14ac:dyDescent="0.4">
      <c r="A72" s="229"/>
      <c r="B72" s="229"/>
      <c r="C72" s="255"/>
      <c r="D72" s="256"/>
      <c r="E72" s="257">
        <f>COUNT(E59:E68)</f>
        <v>10</v>
      </c>
      <c r="F72" s="257">
        <f>COUNT(F59:F68)</f>
        <v>10</v>
      </c>
      <c r="G72" s="258">
        <f>COUNT(G59:G68)</f>
        <v>10</v>
      </c>
    </row>
    <row r="73" spans="1:7" ht="18.75" customHeight="1" x14ac:dyDescent="0.3">
      <c r="A73" s="229"/>
      <c r="B73" s="259"/>
      <c r="C73" s="259"/>
      <c r="D73" s="208"/>
      <c r="E73" s="250"/>
      <c r="F73" s="205"/>
      <c r="G73" s="260"/>
    </row>
    <row r="74" spans="1:7" ht="18.75" customHeight="1" x14ac:dyDescent="0.3">
      <c r="A74" s="168" t="s">
        <v>103</v>
      </c>
      <c r="B74" s="261" t="s">
        <v>104</v>
      </c>
      <c r="C74" s="561" t="str">
        <f>B20</f>
        <v>Paracetamol 500mg and caffeine 65 mg.</v>
      </c>
      <c r="D74" s="561"/>
      <c r="E74" s="262" t="s">
        <v>105</v>
      </c>
      <c r="F74" s="262"/>
      <c r="G74" s="263">
        <f>G70</f>
        <v>102.89807620295309</v>
      </c>
    </row>
    <row r="75" spans="1:7" ht="18.75" customHeight="1" x14ac:dyDescent="0.3">
      <c r="A75" s="168"/>
      <c r="B75" s="261"/>
      <c r="C75" s="264"/>
      <c r="D75" s="264"/>
      <c r="E75" s="262"/>
      <c r="F75" s="262"/>
      <c r="G75" s="265"/>
    </row>
    <row r="76" spans="1:7" ht="18.75" customHeight="1" x14ac:dyDescent="0.3">
      <c r="A76" s="159" t="s">
        <v>1</v>
      </c>
      <c r="B76" s="266" t="s">
        <v>106</v>
      </c>
      <c r="C76" s="158"/>
      <c r="D76" s="158"/>
      <c r="E76" s="158"/>
      <c r="F76" s="158"/>
      <c r="G76" s="229"/>
    </row>
    <row r="77" spans="1:7" ht="18.75" customHeight="1" x14ac:dyDescent="0.3">
      <c r="A77" s="159"/>
      <c r="B77" s="224"/>
      <c r="C77" s="158"/>
      <c r="D77" s="158"/>
      <c r="E77" s="158"/>
      <c r="F77" s="158"/>
      <c r="G77" s="229"/>
    </row>
    <row r="78" spans="1:7" ht="18.75" customHeight="1" x14ac:dyDescent="0.3">
      <c r="A78" s="229"/>
      <c r="B78" s="564" t="s">
        <v>54</v>
      </c>
      <c r="C78" s="565"/>
      <c r="D78" s="158"/>
      <c r="E78" s="229"/>
      <c r="F78" s="229"/>
      <c r="G78" s="229"/>
    </row>
    <row r="79" spans="1:7" ht="18.75" customHeight="1" x14ac:dyDescent="0.3">
      <c r="A79" s="229"/>
      <c r="B79" s="267" t="s">
        <v>43</v>
      </c>
      <c r="C79" s="268">
        <f>G70</f>
        <v>102.89807620295309</v>
      </c>
      <c r="D79" s="158"/>
      <c r="E79" s="229"/>
      <c r="F79" s="229"/>
      <c r="G79" s="229"/>
    </row>
    <row r="80" spans="1:7" ht="26.25" customHeight="1" x14ac:dyDescent="0.4">
      <c r="A80" s="229"/>
      <c r="B80" s="267" t="s">
        <v>55</v>
      </c>
      <c r="C80" s="269">
        <v>2.4</v>
      </c>
      <c r="D80" s="158"/>
      <c r="E80" s="229"/>
      <c r="F80" s="229"/>
      <c r="G80" s="229"/>
    </row>
    <row r="81" spans="1:7" ht="18.75" customHeight="1" x14ac:dyDescent="0.3">
      <c r="A81" s="229"/>
      <c r="B81" s="267" t="s">
        <v>56</v>
      </c>
      <c r="C81" s="268">
        <f>STDEV(G59:G68)</f>
        <v>1.1969791183661531</v>
      </c>
      <c r="D81" s="158"/>
      <c r="E81" s="229"/>
      <c r="F81" s="229"/>
      <c r="G81" s="229"/>
    </row>
    <row r="82" spans="1:7" ht="18.75" customHeight="1" x14ac:dyDescent="0.3">
      <c r="A82" s="229"/>
      <c r="B82" s="267" t="s">
        <v>57</v>
      </c>
      <c r="C82" s="268">
        <f>IF(OR(G70&lt;98.5,G70&gt;101.5),(IF(98.5&gt;G70,98.5,101.5)),C79)</f>
        <v>101.5</v>
      </c>
      <c r="D82" s="158"/>
      <c r="E82" s="229"/>
      <c r="F82" s="229"/>
      <c r="G82" s="229"/>
    </row>
    <row r="83" spans="1:7" ht="18.75" customHeight="1" x14ac:dyDescent="0.3">
      <c r="A83" s="229"/>
      <c r="B83" s="267" t="s">
        <v>58</v>
      </c>
      <c r="C83" s="270">
        <f>ABS(C82-C79)+(C80*C81)</f>
        <v>4.2708260870318595</v>
      </c>
      <c r="D83" s="158"/>
      <c r="E83" s="229"/>
      <c r="F83" s="229"/>
      <c r="G83" s="229"/>
    </row>
    <row r="84" spans="1:7" ht="18.75" customHeight="1" x14ac:dyDescent="0.3">
      <c r="A84" s="226"/>
      <c r="B84" s="271"/>
      <c r="C84" s="158"/>
      <c r="D84" s="158"/>
      <c r="E84" s="158"/>
      <c r="F84" s="158"/>
      <c r="G84" s="158"/>
    </row>
    <row r="85" spans="1:7" ht="18.75" customHeight="1" x14ac:dyDescent="0.3">
      <c r="A85" s="167" t="s">
        <v>107</v>
      </c>
      <c r="B85" s="167" t="s">
        <v>108</v>
      </c>
      <c r="C85" s="158"/>
      <c r="D85" s="158"/>
      <c r="E85" s="158"/>
      <c r="F85" s="158"/>
      <c r="G85" s="158"/>
    </row>
    <row r="86" spans="1:7" ht="18.75" customHeight="1" x14ac:dyDescent="0.3">
      <c r="A86" s="167"/>
      <c r="B86" s="167"/>
      <c r="C86" s="158"/>
      <c r="D86" s="158"/>
      <c r="E86" s="158"/>
      <c r="F86" s="158"/>
      <c r="G86" s="158"/>
    </row>
    <row r="87" spans="1:7" ht="26.25" customHeight="1" x14ac:dyDescent="0.4">
      <c r="A87" s="168" t="s">
        <v>4</v>
      </c>
      <c r="B87" s="551" t="s">
        <v>163</v>
      </c>
      <c r="C87" s="551"/>
      <c r="D87" s="158"/>
      <c r="E87" s="158"/>
      <c r="F87" s="158"/>
      <c r="G87" s="158"/>
    </row>
    <row r="88" spans="1:7" ht="26.25" customHeight="1" x14ac:dyDescent="0.4">
      <c r="A88" s="169" t="s">
        <v>61</v>
      </c>
      <c r="B88" s="552" t="s">
        <v>164</v>
      </c>
      <c r="C88" s="552"/>
      <c r="D88" s="158"/>
      <c r="E88" s="158"/>
      <c r="F88" s="158"/>
      <c r="G88" s="158"/>
    </row>
    <row r="89" spans="1:7" ht="27" customHeight="1" x14ac:dyDescent="0.4">
      <c r="A89" s="169" t="s">
        <v>6</v>
      </c>
      <c r="B89" s="170">
        <v>99.3</v>
      </c>
      <c r="C89" s="158"/>
      <c r="D89" s="158"/>
      <c r="E89" s="158"/>
      <c r="F89" s="158"/>
      <c r="G89" s="158"/>
    </row>
    <row r="90" spans="1:7" ht="27" customHeight="1" x14ac:dyDescent="0.4">
      <c r="A90" s="169" t="s">
        <v>62</v>
      </c>
      <c r="B90" s="170">
        <f>B33</f>
        <v>0</v>
      </c>
      <c r="C90" s="566" t="s">
        <v>109</v>
      </c>
      <c r="D90" s="567"/>
      <c r="E90" s="567"/>
      <c r="F90" s="567"/>
      <c r="G90" s="568"/>
    </row>
    <row r="91" spans="1:7" ht="18.75" customHeight="1" x14ac:dyDescent="0.3">
      <c r="A91" s="169" t="s">
        <v>64</v>
      </c>
      <c r="B91" s="173">
        <f>B89-B90</f>
        <v>99.3</v>
      </c>
      <c r="C91" s="272"/>
      <c r="D91" s="272"/>
      <c r="E91" s="272"/>
      <c r="F91" s="272"/>
      <c r="G91" s="273"/>
    </row>
    <row r="92" spans="1:7" ht="19.5" customHeight="1" x14ac:dyDescent="0.3">
      <c r="A92" s="169"/>
      <c r="B92" s="173"/>
      <c r="C92" s="272"/>
      <c r="D92" s="272"/>
      <c r="E92" s="272"/>
      <c r="F92" s="272"/>
      <c r="G92" s="273"/>
    </row>
    <row r="93" spans="1:7" ht="27" customHeight="1" x14ac:dyDescent="0.4">
      <c r="A93" s="169" t="s">
        <v>65</v>
      </c>
      <c r="B93" s="175">
        <v>1</v>
      </c>
      <c r="C93" s="555" t="s">
        <v>110</v>
      </c>
      <c r="D93" s="556"/>
      <c r="E93" s="556"/>
      <c r="F93" s="556"/>
      <c r="G93" s="556"/>
    </row>
    <row r="94" spans="1:7" ht="27" customHeight="1" x14ac:dyDescent="0.4">
      <c r="A94" s="169" t="s">
        <v>67</v>
      </c>
      <c r="B94" s="175">
        <v>1</v>
      </c>
      <c r="C94" s="555" t="s">
        <v>111</v>
      </c>
      <c r="D94" s="556"/>
      <c r="E94" s="556"/>
      <c r="F94" s="556"/>
      <c r="G94" s="556"/>
    </row>
    <row r="95" spans="1:7" ht="18.75" customHeight="1" x14ac:dyDescent="0.3">
      <c r="A95" s="169"/>
      <c r="B95" s="176"/>
      <c r="C95" s="177"/>
      <c r="D95" s="177"/>
      <c r="E95" s="177"/>
      <c r="F95" s="177"/>
      <c r="G95" s="177"/>
    </row>
    <row r="96" spans="1:7" ht="18.75" customHeight="1" x14ac:dyDescent="0.3">
      <c r="A96" s="169" t="s">
        <v>69</v>
      </c>
      <c r="B96" s="178">
        <f>B93/B94</f>
        <v>1</v>
      </c>
      <c r="C96" s="158" t="s">
        <v>70</v>
      </c>
      <c r="D96" s="158"/>
      <c r="E96" s="158"/>
      <c r="F96" s="158"/>
      <c r="G96" s="158"/>
    </row>
    <row r="97" spans="1:7" ht="19.5" customHeight="1" x14ac:dyDescent="0.3">
      <c r="A97" s="167"/>
      <c r="B97" s="167"/>
      <c r="C97" s="158"/>
      <c r="D97" s="158"/>
      <c r="E97" s="158"/>
      <c r="F97" s="158"/>
      <c r="G97" s="158"/>
    </row>
    <row r="98" spans="1:7" ht="27" customHeight="1" x14ac:dyDescent="0.4">
      <c r="A98" s="179" t="s">
        <v>71</v>
      </c>
      <c r="B98" s="274">
        <v>100</v>
      </c>
      <c r="C98" s="158"/>
      <c r="D98" s="275" t="s">
        <v>72</v>
      </c>
      <c r="E98" s="276"/>
      <c r="F98" s="547" t="s">
        <v>73</v>
      </c>
      <c r="G98" s="548"/>
    </row>
    <row r="99" spans="1:7" ht="26.25" customHeight="1" x14ac:dyDescent="0.4">
      <c r="A99" s="181" t="s">
        <v>74</v>
      </c>
      <c r="B99" s="277">
        <v>10</v>
      </c>
      <c r="C99" s="183" t="s">
        <v>75</v>
      </c>
      <c r="D99" s="184" t="s">
        <v>76</v>
      </c>
      <c r="E99" s="185" t="s">
        <v>77</v>
      </c>
      <c r="F99" s="184" t="s">
        <v>76</v>
      </c>
      <c r="G99" s="186" t="s">
        <v>77</v>
      </c>
    </row>
    <row r="100" spans="1:7" ht="26.25" customHeight="1" x14ac:dyDescent="0.4">
      <c r="A100" s="181" t="s">
        <v>78</v>
      </c>
      <c r="B100" s="277">
        <v>100</v>
      </c>
      <c r="C100" s="187">
        <v>1</v>
      </c>
      <c r="D100" s="188">
        <v>4143376</v>
      </c>
      <c r="E100" s="278">
        <f>IF(ISBLANK(D100),"-",$D$110/$D$107*D100)</f>
        <v>4521429.7867854005</v>
      </c>
      <c r="F100" s="279">
        <v>4346991</v>
      </c>
      <c r="G100" s="190">
        <f>IF(ISBLANK(F100),"-",$D$110/$F$107*F100)</f>
        <v>4487757.0959813083</v>
      </c>
    </row>
    <row r="101" spans="1:7" ht="26.25" customHeight="1" x14ac:dyDescent="0.4">
      <c r="A101" s="181" t="s">
        <v>79</v>
      </c>
      <c r="B101" s="277">
        <v>1</v>
      </c>
      <c r="C101" s="191">
        <v>2</v>
      </c>
      <c r="D101" s="192">
        <v>4114340</v>
      </c>
      <c r="E101" s="280">
        <f>IF(ISBLANK(D101),"-",$D$110/$D$107*D101)</f>
        <v>4489744.4569265852</v>
      </c>
      <c r="F101" s="170">
        <v>4349135</v>
      </c>
      <c r="G101" s="194">
        <f>IF(ISBLANK(F101),"-",$D$110/$F$107*F101)</f>
        <v>4489970.523893578</v>
      </c>
    </row>
    <row r="102" spans="1:7" ht="26.25" customHeight="1" x14ac:dyDescent="0.4">
      <c r="A102" s="181" t="s">
        <v>80</v>
      </c>
      <c r="B102" s="277">
        <v>1</v>
      </c>
      <c r="C102" s="191">
        <v>3</v>
      </c>
      <c r="D102" s="192">
        <v>4130585</v>
      </c>
      <c r="E102" s="280">
        <f>IF(ISBLANK(D102),"-",$D$110/$D$107*D102)</f>
        <v>4507471.6984046279</v>
      </c>
      <c r="F102" s="531">
        <v>4340047</v>
      </c>
      <c r="G102" s="194">
        <f>IF(ISBLANK(F102),"-",$D$110/$F$107*F102)</f>
        <v>4480588.2324445555</v>
      </c>
    </row>
    <row r="103" spans="1:7" ht="26.25" customHeight="1" x14ac:dyDescent="0.4">
      <c r="A103" s="181" t="s">
        <v>81</v>
      </c>
      <c r="B103" s="277">
        <v>1</v>
      </c>
      <c r="C103" s="195">
        <v>4</v>
      </c>
      <c r="D103" s="196"/>
      <c r="E103" s="281" t="str">
        <f>IF(ISBLANK(D103),"-",$D$110/$D$107*D103)</f>
        <v>-</v>
      </c>
      <c r="F103" s="282"/>
      <c r="G103" s="198" t="str">
        <f>IF(ISBLANK(F103),"-",$D$110/$F$107*F103)</f>
        <v>-</v>
      </c>
    </row>
    <row r="104" spans="1:7" ht="27" customHeight="1" x14ac:dyDescent="0.4">
      <c r="A104" s="181" t="s">
        <v>82</v>
      </c>
      <c r="B104" s="277">
        <v>1</v>
      </c>
      <c r="C104" s="199" t="s">
        <v>83</v>
      </c>
      <c r="D104" s="283">
        <f>AVERAGE(D100:D103)</f>
        <v>4129433.6666666665</v>
      </c>
      <c r="E104" s="201">
        <f>AVERAGE(E100:E103)</f>
        <v>4506215.3140388718</v>
      </c>
      <c r="F104" s="283">
        <f>AVERAGE(F100:F103)</f>
        <v>4345391</v>
      </c>
      <c r="G104" s="284">
        <f>AVERAGE(G100:G103)</f>
        <v>4486105.2841064809</v>
      </c>
    </row>
    <row r="105" spans="1:7" ht="26.25" customHeight="1" x14ac:dyDescent="0.4">
      <c r="A105" s="181" t="s">
        <v>84</v>
      </c>
      <c r="B105" s="277">
        <v>1</v>
      </c>
      <c r="C105" s="203" t="s">
        <v>85</v>
      </c>
      <c r="D105" s="285">
        <v>13.33</v>
      </c>
      <c r="E105" s="205"/>
      <c r="F105" s="204">
        <v>14.09</v>
      </c>
      <c r="G105" s="158"/>
    </row>
    <row r="106" spans="1:7" ht="26.25" customHeight="1" x14ac:dyDescent="0.4">
      <c r="A106" s="181" t="s">
        <v>86</v>
      </c>
      <c r="B106" s="277">
        <v>1</v>
      </c>
      <c r="C106" s="206" t="s">
        <v>87</v>
      </c>
      <c r="D106" s="286">
        <f>D105*$B$96</f>
        <v>13.33</v>
      </c>
      <c r="E106" s="208"/>
      <c r="F106" s="207">
        <f>F105*$B$96</f>
        <v>14.09</v>
      </c>
      <c r="G106" s="158"/>
    </row>
    <row r="107" spans="1:7" ht="19.5" customHeight="1" x14ac:dyDescent="0.3">
      <c r="A107" s="181" t="s">
        <v>88</v>
      </c>
      <c r="B107" s="316">
        <f>(B106/B105)*(B104/B103)*(B102/B101)*(B100/B99)*B98</f>
        <v>1000</v>
      </c>
      <c r="C107" s="206" t="s">
        <v>89</v>
      </c>
      <c r="D107" s="287">
        <f>D106*$B$91/100</f>
        <v>13.236689999999999</v>
      </c>
      <c r="E107" s="211"/>
      <c r="F107" s="210">
        <f>F106*$B$91/100</f>
        <v>13.99137</v>
      </c>
      <c r="G107" s="158"/>
    </row>
    <row r="108" spans="1:7" ht="19.5" customHeight="1" x14ac:dyDescent="0.3">
      <c r="A108" s="557" t="s">
        <v>90</v>
      </c>
      <c r="B108" s="558"/>
      <c r="C108" s="206" t="s">
        <v>91</v>
      </c>
      <c r="D108" s="286">
        <f>D107/$B$107</f>
        <v>1.3236689999999999E-2</v>
      </c>
      <c r="E108" s="211"/>
      <c r="F108" s="212">
        <f>F107/$B$107</f>
        <v>1.399137E-2</v>
      </c>
      <c r="G108" s="288"/>
    </row>
    <row r="109" spans="1:7" ht="19.5" customHeight="1" x14ac:dyDescent="0.3">
      <c r="A109" s="559"/>
      <c r="B109" s="560"/>
      <c r="C109" s="334" t="s">
        <v>92</v>
      </c>
      <c r="D109" s="290">
        <f>$B$56/$B$125</f>
        <v>1.4444444444444444E-2</v>
      </c>
      <c r="E109" s="158"/>
      <c r="F109" s="215"/>
      <c r="G109" s="291"/>
    </row>
    <row r="110" spans="1:7" ht="18.75" customHeight="1" x14ac:dyDescent="0.3">
      <c r="A110" s="158"/>
      <c r="B110" s="158"/>
      <c r="C110" s="289" t="s">
        <v>93</v>
      </c>
      <c r="D110" s="286">
        <f>D109*$B$107</f>
        <v>14.444444444444445</v>
      </c>
      <c r="E110" s="158"/>
      <c r="F110" s="215"/>
      <c r="G110" s="288"/>
    </row>
    <row r="111" spans="1:7" ht="19.5" customHeight="1" x14ac:dyDescent="0.3">
      <c r="A111" s="158"/>
      <c r="B111" s="158"/>
      <c r="C111" s="292" t="s">
        <v>94</v>
      </c>
      <c r="D111" s="293">
        <f>D110/B96</f>
        <v>14.444444444444445</v>
      </c>
      <c r="E111" s="158"/>
      <c r="F111" s="220"/>
      <c r="G111" s="288"/>
    </row>
    <row r="112" spans="1:7" ht="18.75" customHeight="1" x14ac:dyDescent="0.3">
      <c r="A112" s="158"/>
      <c r="B112" s="158"/>
      <c r="C112" s="294" t="s">
        <v>95</v>
      </c>
      <c r="D112" s="295">
        <f>AVERAGE(E100:E103,G100:G103)</f>
        <v>4496160.2990726754</v>
      </c>
      <c r="E112" s="158"/>
      <c r="F112" s="220"/>
      <c r="G112" s="296"/>
    </row>
    <row r="113" spans="1:7" ht="18.75" customHeight="1" x14ac:dyDescent="0.3">
      <c r="A113" s="158"/>
      <c r="B113" s="158"/>
      <c r="C113" s="297" t="s">
        <v>60</v>
      </c>
      <c r="D113" s="298">
        <f>STDEV(E100:E103,G100:G103)/D112</f>
        <v>3.3863265013408194E-3</v>
      </c>
      <c r="E113" s="158"/>
      <c r="F113" s="220"/>
      <c r="G113" s="288"/>
    </row>
    <row r="114" spans="1:7" ht="19.5" customHeight="1" x14ac:dyDescent="0.3">
      <c r="A114" s="158"/>
      <c r="B114" s="158"/>
      <c r="C114" s="299" t="s">
        <v>20</v>
      </c>
      <c r="D114" s="300">
        <f>COUNT(E100:E103,G100:G103)</f>
        <v>6</v>
      </c>
      <c r="E114" s="158"/>
      <c r="F114" s="220"/>
      <c r="G114" s="288"/>
    </row>
    <row r="115" spans="1:7" ht="19.5" customHeight="1" x14ac:dyDescent="0.3">
      <c r="A115" s="159"/>
      <c r="B115" s="159"/>
      <c r="C115" s="159"/>
      <c r="D115" s="159"/>
      <c r="E115" s="159"/>
      <c r="F115" s="158"/>
      <c r="G115" s="158"/>
    </row>
    <row r="116" spans="1:7" ht="26.25" customHeight="1" x14ac:dyDescent="0.4">
      <c r="A116" s="179" t="s">
        <v>112</v>
      </c>
      <c r="B116" s="274">
        <v>900</v>
      </c>
      <c r="C116" s="301" t="s">
        <v>113</v>
      </c>
      <c r="D116" s="302" t="s">
        <v>76</v>
      </c>
      <c r="E116" s="303" t="s">
        <v>114</v>
      </c>
      <c r="F116" s="304" t="s">
        <v>115</v>
      </c>
      <c r="G116" s="158"/>
    </row>
    <row r="117" spans="1:7" ht="26.25" customHeight="1" x14ac:dyDescent="0.4">
      <c r="A117" s="181" t="s">
        <v>116</v>
      </c>
      <c r="B117" s="277">
        <v>2</v>
      </c>
      <c r="C117" s="239">
        <v>1</v>
      </c>
      <c r="D117" s="532">
        <v>4090354</v>
      </c>
      <c r="E117" s="305">
        <f t="shared" ref="E117:E122" si="3">IF(ISBLANK(D117),"-",D117/$D$112*$D$109*$B$125)</f>
        <v>59.133347637724519</v>
      </c>
      <c r="F117" s="306">
        <f t="shared" ref="F117:F122" si="4">IF(ISBLANK(D117), "-", E117/$B$56)</f>
        <v>0.90974380981114644</v>
      </c>
      <c r="G117" s="158"/>
    </row>
    <row r="118" spans="1:7" ht="26.25" customHeight="1" x14ac:dyDescent="0.4">
      <c r="A118" s="181" t="s">
        <v>117</v>
      </c>
      <c r="B118" s="277">
        <v>10</v>
      </c>
      <c r="C118" s="239">
        <v>2</v>
      </c>
      <c r="D118" s="532">
        <v>4137096</v>
      </c>
      <c r="E118" s="307">
        <f t="shared" si="3"/>
        <v>59.809086445486031</v>
      </c>
      <c r="F118" s="308">
        <f t="shared" si="4"/>
        <v>0.92013979146901581</v>
      </c>
      <c r="G118" s="158"/>
    </row>
    <row r="119" spans="1:7" ht="26.25" customHeight="1" x14ac:dyDescent="0.4">
      <c r="A119" s="181" t="s">
        <v>118</v>
      </c>
      <c r="B119" s="277">
        <v>1</v>
      </c>
      <c r="C119" s="239">
        <v>3</v>
      </c>
      <c r="D119" s="532">
        <v>4057185</v>
      </c>
      <c r="E119" s="307">
        <f t="shared" si="3"/>
        <v>58.653830704032309</v>
      </c>
      <c r="F119" s="308">
        <f t="shared" si="4"/>
        <v>0.90236662621588171</v>
      </c>
      <c r="G119" s="158"/>
    </row>
    <row r="120" spans="1:7" ht="26.25" customHeight="1" x14ac:dyDescent="0.4">
      <c r="A120" s="181" t="s">
        <v>119</v>
      </c>
      <c r="B120" s="277">
        <v>1</v>
      </c>
      <c r="C120" s="239">
        <v>4</v>
      </c>
      <c r="D120" s="532">
        <v>4076392</v>
      </c>
      <c r="E120" s="307">
        <f t="shared" si="3"/>
        <v>58.93150207626018</v>
      </c>
      <c r="F120" s="308">
        <f t="shared" si="4"/>
        <v>0.90663849348092584</v>
      </c>
      <c r="G120" s="158"/>
    </row>
    <row r="121" spans="1:7" ht="26.25" customHeight="1" x14ac:dyDescent="0.4">
      <c r="A121" s="181" t="s">
        <v>120</v>
      </c>
      <c r="B121" s="277">
        <v>1</v>
      </c>
      <c r="C121" s="239">
        <v>5</v>
      </c>
      <c r="D121" s="532">
        <v>4112122</v>
      </c>
      <c r="E121" s="307">
        <f t="shared" si="3"/>
        <v>59.448042823368112</v>
      </c>
      <c r="F121" s="308">
        <f t="shared" si="4"/>
        <v>0.91458527420566327</v>
      </c>
      <c r="G121" s="158"/>
    </row>
    <row r="122" spans="1:7" ht="26.25" customHeight="1" x14ac:dyDescent="0.4">
      <c r="A122" s="181" t="s">
        <v>121</v>
      </c>
      <c r="B122" s="277">
        <v>1</v>
      </c>
      <c r="C122" s="309">
        <v>6</v>
      </c>
      <c r="D122" s="533">
        <v>4123068</v>
      </c>
      <c r="E122" s="310">
        <f t="shared" si="3"/>
        <v>59.606286736545925</v>
      </c>
      <c r="F122" s="311">
        <f t="shared" si="4"/>
        <v>0.91701979594686034</v>
      </c>
      <c r="G122" s="158"/>
    </row>
    <row r="123" spans="1:7" ht="26.25" customHeight="1" x14ac:dyDescent="0.4">
      <c r="A123" s="181" t="s">
        <v>122</v>
      </c>
      <c r="B123" s="277">
        <v>1</v>
      </c>
      <c r="C123" s="239"/>
      <c r="D123" s="312"/>
      <c r="E123" s="259"/>
      <c r="F123" s="242"/>
      <c r="G123" s="158"/>
    </row>
    <row r="124" spans="1:7" ht="26.25" customHeight="1" x14ac:dyDescent="0.4">
      <c r="A124" s="181" t="s">
        <v>123</v>
      </c>
      <c r="B124" s="277">
        <v>1</v>
      </c>
      <c r="C124" s="239"/>
      <c r="D124" s="313"/>
      <c r="E124" s="314" t="s">
        <v>83</v>
      </c>
      <c r="F124" s="315">
        <f>AVERAGE(F117:F122)</f>
        <v>0.91174896518824899</v>
      </c>
      <c r="G124" s="158"/>
    </row>
    <row r="125" spans="1:7" ht="27" customHeight="1" x14ac:dyDescent="0.4">
      <c r="A125" s="181" t="s">
        <v>124</v>
      </c>
      <c r="B125" s="316">
        <f>(B124/B123)*(B122/B121)*(B120/B119)*(B118/B117)*B116</f>
        <v>4500</v>
      </c>
      <c r="C125" s="317"/>
      <c r="D125" s="318"/>
      <c r="E125" s="217" t="s">
        <v>60</v>
      </c>
      <c r="F125" s="254">
        <f>STDEV(F117:F122)/F124</f>
        <v>7.3476647186726347E-3</v>
      </c>
      <c r="G125" s="158"/>
    </row>
    <row r="126" spans="1:7" ht="27" customHeight="1" x14ac:dyDescent="0.4">
      <c r="A126" s="557" t="s">
        <v>90</v>
      </c>
      <c r="B126" s="558"/>
      <c r="C126" s="319"/>
      <c r="D126" s="320"/>
      <c r="E126" s="321" t="s">
        <v>20</v>
      </c>
      <c r="F126" s="322">
        <f>COUNT(F117:F122)</f>
        <v>6</v>
      </c>
      <c r="G126" s="158"/>
    </row>
    <row r="127" spans="1:7" ht="19.5" customHeight="1" x14ac:dyDescent="0.3">
      <c r="A127" s="559"/>
      <c r="B127" s="560"/>
      <c r="C127" s="259"/>
      <c r="D127" s="259"/>
      <c r="E127" s="259"/>
      <c r="F127" s="312"/>
      <c r="G127" s="259"/>
    </row>
    <row r="128" spans="1:7" ht="18.75" customHeight="1" x14ac:dyDescent="0.3">
      <c r="A128" s="177"/>
      <c r="B128" s="177"/>
      <c r="C128" s="259"/>
      <c r="D128" s="259"/>
      <c r="E128" s="259"/>
      <c r="F128" s="312"/>
      <c r="G128" s="259"/>
    </row>
    <row r="129" spans="1:7" ht="18.75" customHeight="1" x14ac:dyDescent="0.3">
      <c r="A129" s="168" t="s">
        <v>103</v>
      </c>
      <c r="B129" s="261" t="s">
        <v>125</v>
      </c>
      <c r="C129" s="561" t="str">
        <f>B20</f>
        <v>Paracetamol 500mg and caffeine 65 mg.</v>
      </c>
      <c r="D129" s="561"/>
      <c r="E129" s="262" t="s">
        <v>126</v>
      </c>
      <c r="F129" s="262"/>
      <c r="G129" s="265">
        <f>F124</f>
        <v>0.91174896518824899</v>
      </c>
    </row>
    <row r="130" spans="1:7" ht="19.5" customHeight="1" x14ac:dyDescent="0.3">
      <c r="A130" s="323"/>
      <c r="B130" s="323"/>
      <c r="C130" s="324"/>
      <c r="D130" s="324"/>
      <c r="E130" s="324"/>
      <c r="F130" s="324"/>
      <c r="G130" s="324"/>
    </row>
    <row r="131" spans="1:7" ht="18.75" customHeight="1" x14ac:dyDescent="0.3">
      <c r="A131" s="158"/>
      <c r="B131" s="546" t="s">
        <v>26</v>
      </c>
      <c r="C131" s="546"/>
      <c r="D131" s="158"/>
      <c r="E131" s="325" t="s">
        <v>27</v>
      </c>
      <c r="F131" s="326"/>
      <c r="G131" s="333" t="s">
        <v>28</v>
      </c>
    </row>
    <row r="132" spans="1:7" ht="60" customHeight="1" x14ac:dyDescent="0.3">
      <c r="A132" s="327" t="s">
        <v>29</v>
      </c>
      <c r="B132" s="328"/>
      <c r="C132" s="328"/>
      <c r="D132" s="158"/>
      <c r="E132" s="328"/>
      <c r="F132" s="259"/>
      <c r="G132" s="329"/>
    </row>
    <row r="133" spans="1:7" ht="60" customHeight="1" x14ac:dyDescent="0.3">
      <c r="A133" s="327" t="s">
        <v>30</v>
      </c>
      <c r="B133" s="330"/>
      <c r="C133" s="330"/>
      <c r="D133" s="158"/>
      <c r="E133" s="330"/>
      <c r="F133" s="259"/>
      <c r="G133" s="331"/>
    </row>
    <row r="250" spans="1:1" x14ac:dyDescent="0.2">
      <c r="A250">
        <v>0</v>
      </c>
    </row>
  </sheetData>
  <sheetProtection password="F258" sheet="1" objects="1" scenarios="1" formatCells="0" formatColumns="0"/>
  <mergeCells count="26">
    <mergeCell ref="A16:G16"/>
    <mergeCell ref="B18:C18"/>
    <mergeCell ref="B20:C20"/>
    <mergeCell ref="B26:C26"/>
    <mergeCell ref="B27:C27"/>
    <mergeCell ref="C31:G31"/>
    <mergeCell ref="C32:G32"/>
    <mergeCell ref="D36:E36"/>
    <mergeCell ref="F36:G36"/>
    <mergeCell ref="A46:B47"/>
    <mergeCell ref="A1:G7"/>
    <mergeCell ref="A8:G14"/>
    <mergeCell ref="B131:C131"/>
    <mergeCell ref="C93:G93"/>
    <mergeCell ref="C94:G94"/>
    <mergeCell ref="F98:G98"/>
    <mergeCell ref="A108:B109"/>
    <mergeCell ref="A126:B127"/>
    <mergeCell ref="C129:D129"/>
    <mergeCell ref="A68:B69"/>
    <mergeCell ref="C74:D74"/>
    <mergeCell ref="B78:C78"/>
    <mergeCell ref="B87:C87"/>
    <mergeCell ref="B88:C88"/>
    <mergeCell ref="C90:G90"/>
    <mergeCell ref="C29:G29"/>
  </mergeCells>
  <conditionalFormatting sqref="D51">
    <cfRule type="cellIs" dxfId="20" priority="1" operator="greaterThan">
      <formula>0.02</formula>
    </cfRule>
  </conditionalFormatting>
  <conditionalFormatting sqref="C83">
    <cfRule type="cellIs" dxfId="19" priority="2" operator="greaterThan">
      <formula>15</formula>
    </cfRule>
  </conditionalFormatting>
  <conditionalFormatting sqref="D113">
    <cfRule type="cellIs" dxfId="18" priority="3" operator="greaterThan">
      <formula>0.02</formula>
    </cfRule>
  </conditionalFormatting>
  <pageMargins left="0.7" right="0.7" top="0.75" bottom="0.75" header="0.3" footer="0.3"/>
  <pageSetup scale="35" orientation="portrait" r:id="rId1"/>
  <headerFooter>
    <oddHeader>&amp;LVer 2&amp;CPage &amp;P of &amp;N&amp;R&amp;D &amp;T</oddHeader>
    <oddFooter>&amp;LNQCL/ADDO/014</oddFooter>
  </headerFooter>
  <rowBreaks count="1" manualBreakCount="1">
    <brk id="8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Uniformity</vt:lpstr>
      <vt:lpstr>sst paracetamol</vt:lpstr>
      <vt:lpstr>sst caffeine</vt:lpstr>
      <vt:lpstr>Paracetamol Assay</vt:lpstr>
      <vt:lpstr>Caffeine assay</vt:lpstr>
      <vt:lpstr>PARACETAMOL</vt:lpstr>
      <vt:lpstr>CAFFEINE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2017-05-08T07:09:45Z</cp:lastPrinted>
  <dcterms:created xsi:type="dcterms:W3CDTF">2005-07-05T10:19:27Z</dcterms:created>
  <dcterms:modified xsi:type="dcterms:W3CDTF">2017-05-08T07:56:35Z</dcterms:modified>
</cp:coreProperties>
</file>